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gif" ContentType="image/gif"/>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T:\Trading\DTL\Calculators\#DTL-Expectancy\FINISHED\"/>
    </mc:Choice>
  </mc:AlternateContent>
  <bookViews>
    <workbookView xWindow="120" yWindow="870" windowWidth="18975" windowHeight="11430"/>
  </bookViews>
  <sheets>
    <sheet name="Splash" sheetId="3" r:id="rId1"/>
    <sheet name="RandomORG Trading Simulator" sheetId="1" r:id="rId2"/>
    <sheet name="Instruction &amp; Quotations" sheetId="2" r:id="rId3"/>
    <sheet name="Credits" sheetId="6" r:id="rId4"/>
  </sheets>
  <functionGroups builtInGroupCount="18"/>
  <definedNames>
    <definedName name="count">'RandomORG Trading Simulator'!$N$24:$N$523</definedName>
    <definedName name="Outcome">'RandomORG Trading Simulator'!$L$24:$L$523</definedName>
    <definedName name="position">'RandomORG Trading Simulator'!$O$24:$O$523</definedName>
    <definedName name="_xlnm.Print_Area" localSheetId="1">'RandomORG Trading Simulator'!$A$1:$AQ$56</definedName>
  </definedNames>
  <calcPr calcId="162913" iterate="1" iterateCount="1"/>
</workbook>
</file>

<file path=xl/calcChain.xml><?xml version="1.0" encoding="utf-8"?>
<calcChain xmlns="http://schemas.openxmlformats.org/spreadsheetml/2006/main">
  <c r="D20" i="1" l="1"/>
  <c r="D16" i="1"/>
  <c r="AL2" i="1"/>
  <c r="F16" i="1" l="1"/>
  <c r="D15" i="1"/>
  <c r="D18" i="1"/>
  <c r="F15" i="1" l="1"/>
  <c r="F18" i="1"/>
  <c r="F20" i="1"/>
  <c r="F24" i="1"/>
  <c r="U24" i="1"/>
  <c r="H24" i="1" l="1"/>
  <c r="L24" i="1"/>
  <c r="H23" i="1"/>
  <c r="K24" i="1" l="1"/>
  <c r="AL7" i="1" l="1"/>
  <c r="AB7" i="1"/>
  <c r="L523" i="1"/>
  <c r="L446" i="1"/>
  <c r="L422" i="1"/>
  <c r="L398" i="1"/>
  <c r="L374" i="1"/>
  <c r="L350" i="1"/>
  <c r="L326" i="1"/>
  <c r="L302" i="1"/>
  <c r="L278" i="1"/>
  <c r="L254" i="1"/>
  <c r="L206" i="1"/>
  <c r="F25" i="1"/>
  <c r="L508" i="1"/>
  <c r="L492" i="1"/>
  <c r="L476" i="1"/>
  <c r="L460" i="1"/>
  <c r="L444" i="1"/>
  <c r="L428" i="1"/>
  <c r="L412" i="1"/>
  <c r="L396" i="1"/>
  <c r="L380" i="1"/>
  <c r="L364" i="1"/>
  <c r="L348" i="1"/>
  <c r="L332" i="1"/>
  <c r="L316" i="1"/>
  <c r="L300" i="1"/>
  <c r="L284" i="1"/>
  <c r="L268" i="1"/>
  <c r="L252" i="1"/>
  <c r="L236" i="1"/>
  <c r="L220" i="1"/>
  <c r="L204" i="1"/>
  <c r="L188" i="1"/>
  <c r="L172" i="1"/>
  <c r="L156" i="1"/>
  <c r="L140" i="1"/>
  <c r="L124" i="1"/>
  <c r="L116" i="1"/>
  <c r="L100" i="1"/>
  <c r="L92" i="1"/>
  <c r="L84" i="1"/>
  <c r="L76" i="1"/>
  <c r="L68" i="1"/>
  <c r="L52" i="1"/>
  <c r="L44" i="1"/>
  <c r="L36" i="1"/>
  <c r="L28" i="1"/>
  <c r="L520" i="1"/>
  <c r="L512" i="1"/>
  <c r="L504" i="1"/>
  <c r="L496" i="1"/>
  <c r="L488" i="1"/>
  <c r="L480" i="1"/>
  <c r="L472" i="1"/>
  <c r="L464" i="1"/>
  <c r="L456" i="1"/>
  <c r="L448" i="1"/>
  <c r="L440" i="1"/>
  <c r="L432" i="1"/>
  <c r="L424" i="1"/>
  <c r="L416" i="1"/>
  <c r="L408" i="1"/>
  <c r="L400" i="1"/>
  <c r="L392" i="1"/>
  <c r="L384" i="1"/>
  <c r="L376" i="1"/>
  <c r="L368" i="1"/>
  <c r="L360" i="1"/>
  <c r="L352" i="1"/>
  <c r="L344" i="1"/>
  <c r="L336" i="1"/>
  <c r="L328" i="1"/>
  <c r="L320" i="1"/>
  <c r="L312" i="1"/>
  <c r="L304" i="1"/>
  <c r="L296" i="1"/>
  <c r="L288" i="1"/>
  <c r="L280" i="1"/>
  <c r="L272" i="1"/>
  <c r="L264" i="1"/>
  <c r="L256" i="1"/>
  <c r="L248" i="1"/>
  <c r="L240" i="1"/>
  <c r="L232" i="1"/>
  <c r="L224" i="1"/>
  <c r="L216" i="1"/>
  <c r="L208" i="1"/>
  <c r="L200" i="1"/>
  <c r="L192" i="1"/>
  <c r="L184" i="1"/>
  <c r="L176" i="1"/>
  <c r="L168" i="1"/>
  <c r="L160" i="1"/>
  <c r="L152" i="1"/>
  <c r="L144" i="1"/>
  <c r="L136" i="1"/>
  <c r="L128" i="1"/>
  <c r="L120" i="1"/>
  <c r="L112" i="1"/>
  <c r="L104" i="1"/>
  <c r="L96" i="1"/>
  <c r="L88" i="1"/>
  <c r="L80" i="1"/>
  <c r="L72" i="1"/>
  <c r="L64" i="1"/>
  <c r="L56" i="1"/>
  <c r="L48" i="1"/>
  <c r="L40" i="1"/>
  <c r="L32" i="1"/>
  <c r="L519" i="1"/>
  <c r="L511" i="1"/>
  <c r="L503" i="1"/>
  <c r="L495" i="1"/>
  <c r="L487" i="1"/>
  <c r="L479" i="1"/>
  <c r="L471" i="1"/>
  <c r="L463" i="1"/>
  <c r="L455" i="1"/>
  <c r="L447" i="1"/>
  <c r="L439" i="1"/>
  <c r="L431" i="1"/>
  <c r="L423" i="1"/>
  <c r="L415" i="1"/>
  <c r="L407" i="1"/>
  <c r="L399" i="1"/>
  <c r="L391" i="1"/>
  <c r="L383" i="1"/>
  <c r="L375" i="1"/>
  <c r="L367" i="1"/>
  <c r="L359" i="1"/>
  <c r="L351" i="1"/>
  <c r="L343" i="1"/>
  <c r="L335" i="1"/>
  <c r="L327" i="1"/>
  <c r="L319" i="1"/>
  <c r="L311" i="1"/>
  <c r="L303" i="1"/>
  <c r="L295" i="1"/>
  <c r="L287" i="1"/>
  <c r="L279" i="1"/>
  <c r="L271" i="1"/>
  <c r="L263" i="1"/>
  <c r="L255" i="1"/>
  <c r="L247" i="1"/>
  <c r="L239" i="1"/>
  <c r="L231" i="1"/>
  <c r="L223" i="1"/>
  <c r="L215" i="1"/>
  <c r="L207" i="1"/>
  <c r="L199" i="1"/>
  <c r="L191" i="1"/>
  <c r="L183" i="1"/>
  <c r="L175" i="1"/>
  <c r="L167" i="1"/>
  <c r="L159" i="1"/>
  <c r="L151" i="1"/>
  <c r="L143" i="1"/>
  <c r="L135" i="1"/>
  <c r="L127" i="1"/>
  <c r="L119" i="1"/>
  <c r="L111" i="1"/>
  <c r="L103" i="1"/>
  <c r="L95" i="1"/>
  <c r="L87" i="1"/>
  <c r="L79" i="1"/>
  <c r="L71" i="1"/>
  <c r="L63" i="1"/>
  <c r="L55" i="1"/>
  <c r="L47" i="1"/>
  <c r="L39" i="1"/>
  <c r="L31" i="1"/>
  <c r="L462" i="1"/>
  <c r="L454" i="1"/>
  <c r="L430" i="1"/>
  <c r="L406" i="1"/>
  <c r="L382" i="1"/>
  <c r="L366" i="1"/>
  <c r="L342" i="1"/>
  <c r="L318" i="1"/>
  <c r="L294" i="1"/>
  <c r="L270" i="1"/>
  <c r="L246" i="1"/>
  <c r="L230" i="1"/>
  <c r="L222" i="1"/>
  <c r="L214" i="1"/>
  <c r="L198" i="1"/>
  <c r="L182" i="1"/>
  <c r="L174" i="1"/>
  <c r="L166" i="1"/>
  <c r="L158" i="1"/>
  <c r="L150" i="1"/>
  <c r="L142" i="1"/>
  <c r="L134" i="1"/>
  <c r="L126" i="1"/>
  <c r="L118" i="1"/>
  <c r="L110" i="1"/>
  <c r="L102" i="1"/>
  <c r="L94" i="1"/>
  <c r="L86" i="1"/>
  <c r="L78" i="1"/>
  <c r="L70" i="1"/>
  <c r="L62" i="1"/>
  <c r="L54" i="1"/>
  <c r="L46" i="1"/>
  <c r="L38" i="1"/>
  <c r="L30" i="1"/>
  <c r="L517" i="1"/>
  <c r="L509" i="1"/>
  <c r="L501" i="1"/>
  <c r="L493" i="1"/>
  <c r="L485" i="1"/>
  <c r="L477" i="1"/>
  <c r="L469" i="1"/>
  <c r="L461" i="1"/>
  <c r="L453" i="1"/>
  <c r="L445" i="1"/>
  <c r="L437" i="1"/>
  <c r="L429" i="1"/>
  <c r="L421" i="1"/>
  <c r="L413" i="1"/>
  <c r="L405" i="1"/>
  <c r="L397" i="1"/>
  <c r="L389" i="1"/>
  <c r="L381" i="1"/>
  <c r="L373" i="1"/>
  <c r="L365" i="1"/>
  <c r="L357" i="1"/>
  <c r="L349" i="1"/>
  <c r="L341" i="1"/>
  <c r="L333" i="1"/>
  <c r="L325" i="1"/>
  <c r="L317" i="1"/>
  <c r="L309" i="1"/>
  <c r="L301" i="1"/>
  <c r="L293" i="1"/>
  <c r="L285" i="1"/>
  <c r="L277" i="1"/>
  <c r="L269" i="1"/>
  <c r="L261" i="1"/>
  <c r="L253" i="1"/>
  <c r="L245" i="1"/>
  <c r="L237" i="1"/>
  <c r="L229" i="1"/>
  <c r="L221" i="1"/>
  <c r="L213" i="1"/>
  <c r="L205" i="1"/>
  <c r="L197" i="1"/>
  <c r="L189" i="1"/>
  <c r="L181" i="1"/>
  <c r="L173" i="1"/>
  <c r="L165" i="1"/>
  <c r="L157" i="1"/>
  <c r="L149" i="1"/>
  <c r="L141" i="1"/>
  <c r="L133" i="1"/>
  <c r="L125" i="1"/>
  <c r="L117" i="1"/>
  <c r="L109" i="1"/>
  <c r="L101" i="1"/>
  <c r="L93" i="1"/>
  <c r="L85" i="1"/>
  <c r="L77" i="1"/>
  <c r="L69" i="1"/>
  <c r="L61" i="1"/>
  <c r="L53" i="1"/>
  <c r="L45" i="1"/>
  <c r="L37" i="1"/>
  <c r="L29" i="1"/>
  <c r="L518" i="1"/>
  <c r="L502" i="1"/>
  <c r="L486" i="1"/>
  <c r="L470" i="1"/>
  <c r="L438" i="1"/>
  <c r="L414" i="1"/>
  <c r="L390" i="1"/>
  <c r="L358" i="1"/>
  <c r="L334" i="1"/>
  <c r="L310" i="1"/>
  <c r="L286" i="1"/>
  <c r="L262" i="1"/>
  <c r="L238" i="1"/>
  <c r="L190" i="1"/>
  <c r="L516" i="1"/>
  <c r="L500" i="1"/>
  <c r="L484" i="1"/>
  <c r="L468" i="1"/>
  <c r="L452" i="1"/>
  <c r="L436" i="1"/>
  <c r="L420" i="1"/>
  <c r="L404" i="1"/>
  <c r="L388" i="1"/>
  <c r="L372" i="1"/>
  <c r="L356" i="1"/>
  <c r="L340" i="1"/>
  <c r="L324" i="1"/>
  <c r="L308" i="1"/>
  <c r="L292" i="1"/>
  <c r="L276" i="1"/>
  <c r="L260" i="1"/>
  <c r="L244" i="1"/>
  <c r="L228" i="1"/>
  <c r="L212" i="1"/>
  <c r="L196" i="1"/>
  <c r="L180" i="1"/>
  <c r="L164" i="1"/>
  <c r="L148" i="1"/>
  <c r="L132" i="1"/>
  <c r="L108" i="1"/>
  <c r="L60" i="1"/>
  <c r="L515" i="1"/>
  <c r="L507" i="1"/>
  <c r="L499" i="1"/>
  <c r="L491" i="1"/>
  <c r="L483" i="1"/>
  <c r="L475" i="1"/>
  <c r="L467" i="1"/>
  <c r="L459" i="1"/>
  <c r="L451" i="1"/>
  <c r="L443" i="1"/>
  <c r="L435" i="1"/>
  <c r="L427" i="1"/>
  <c r="L419" i="1"/>
  <c r="L411" i="1"/>
  <c r="L403" i="1"/>
  <c r="L395" i="1"/>
  <c r="L387" i="1"/>
  <c r="L379" i="1"/>
  <c r="L371" i="1"/>
  <c r="L363" i="1"/>
  <c r="L355" i="1"/>
  <c r="L347" i="1"/>
  <c r="L339" i="1"/>
  <c r="L331" i="1"/>
  <c r="L323" i="1"/>
  <c r="L315" i="1"/>
  <c r="L307" i="1"/>
  <c r="L299" i="1"/>
  <c r="L291" i="1"/>
  <c r="L283" i="1"/>
  <c r="L275" i="1"/>
  <c r="L267" i="1"/>
  <c r="L259" i="1"/>
  <c r="L251" i="1"/>
  <c r="L243" i="1"/>
  <c r="L235" i="1"/>
  <c r="L227" i="1"/>
  <c r="L219" i="1"/>
  <c r="L510" i="1"/>
  <c r="L494" i="1"/>
  <c r="L478" i="1"/>
  <c r="L211" i="1"/>
  <c r="L195" i="1"/>
  <c r="L179" i="1"/>
  <c r="L163" i="1"/>
  <c r="L147" i="1"/>
  <c r="L131" i="1"/>
  <c r="L115" i="1"/>
  <c r="L99" i="1"/>
  <c r="L83" i="1"/>
  <c r="L67" i="1"/>
  <c r="L51" i="1"/>
  <c r="L27" i="1"/>
  <c r="L522" i="1"/>
  <c r="L514" i="1"/>
  <c r="L506" i="1"/>
  <c r="L498" i="1"/>
  <c r="L490" i="1"/>
  <c r="L482" i="1"/>
  <c r="L474" i="1"/>
  <c r="L466" i="1"/>
  <c r="L458" i="1"/>
  <c r="L450" i="1"/>
  <c r="L442" i="1"/>
  <c r="L434" i="1"/>
  <c r="L426" i="1"/>
  <c r="L418" i="1"/>
  <c r="L410" i="1"/>
  <c r="L402" i="1"/>
  <c r="L394" i="1"/>
  <c r="L386" i="1"/>
  <c r="L378" i="1"/>
  <c r="L370" i="1"/>
  <c r="L362" i="1"/>
  <c r="L354" i="1"/>
  <c r="L346" i="1"/>
  <c r="L338" i="1"/>
  <c r="L330" i="1"/>
  <c r="L322" i="1"/>
  <c r="L314" i="1"/>
  <c r="L306" i="1"/>
  <c r="L298" i="1"/>
  <c r="L290" i="1"/>
  <c r="L282" i="1"/>
  <c r="L274" i="1"/>
  <c r="L266" i="1"/>
  <c r="L258" i="1"/>
  <c r="L250" i="1"/>
  <c r="L242" i="1"/>
  <c r="L234" i="1"/>
  <c r="L226" i="1"/>
  <c r="L218" i="1"/>
  <c r="L210" i="1"/>
  <c r="L202" i="1"/>
  <c r="L194" i="1"/>
  <c r="L186" i="1"/>
  <c r="L178" i="1"/>
  <c r="L170" i="1"/>
  <c r="L162" i="1"/>
  <c r="L154" i="1"/>
  <c r="L146" i="1"/>
  <c r="L138" i="1"/>
  <c r="L130" i="1"/>
  <c r="L122" i="1"/>
  <c r="L114" i="1"/>
  <c r="L106" i="1"/>
  <c r="L98" i="1"/>
  <c r="L90" i="1"/>
  <c r="L82" i="1"/>
  <c r="L74" i="1"/>
  <c r="L66" i="1"/>
  <c r="L58" i="1"/>
  <c r="L50" i="1"/>
  <c r="L42" i="1"/>
  <c r="L34" i="1"/>
  <c r="L26" i="1"/>
  <c r="L203" i="1"/>
  <c r="L187" i="1"/>
  <c r="L171" i="1"/>
  <c r="L155" i="1"/>
  <c r="L139" i="1"/>
  <c r="L123" i="1"/>
  <c r="L107" i="1"/>
  <c r="L91" i="1"/>
  <c r="L75" i="1"/>
  <c r="L59" i="1"/>
  <c r="L43" i="1"/>
  <c r="L35" i="1"/>
  <c r="L521" i="1"/>
  <c r="L513" i="1"/>
  <c r="L505" i="1"/>
  <c r="L497" i="1"/>
  <c r="L489" i="1"/>
  <c r="L481" i="1"/>
  <c r="L473" i="1"/>
  <c r="L465" i="1"/>
  <c r="L457" i="1"/>
  <c r="L449" i="1"/>
  <c r="L441" i="1"/>
  <c r="L433" i="1"/>
  <c r="L425" i="1"/>
  <c r="L417" i="1"/>
  <c r="L409" i="1"/>
  <c r="L401" i="1"/>
  <c r="L393" i="1"/>
  <c r="L385" i="1"/>
  <c r="L377" i="1"/>
  <c r="L369" i="1"/>
  <c r="L361" i="1"/>
  <c r="L353" i="1"/>
  <c r="L345" i="1"/>
  <c r="L337" i="1"/>
  <c r="L329" i="1"/>
  <c r="L321" i="1"/>
  <c r="L313" i="1"/>
  <c r="L305" i="1"/>
  <c r="L297" i="1"/>
  <c r="L289" i="1"/>
  <c r="L281" i="1"/>
  <c r="L273" i="1"/>
  <c r="L265" i="1"/>
  <c r="L257" i="1"/>
  <c r="L249" i="1"/>
  <c r="L241" i="1"/>
  <c r="L233" i="1"/>
  <c r="L225" i="1"/>
  <c r="L217" i="1"/>
  <c r="L209" i="1"/>
  <c r="L201" i="1"/>
  <c r="L193" i="1"/>
  <c r="L185" i="1"/>
  <c r="L177" i="1"/>
  <c r="L169" i="1"/>
  <c r="L161" i="1"/>
  <c r="L153" i="1"/>
  <c r="L145" i="1"/>
  <c r="L137" i="1"/>
  <c r="L129" i="1"/>
  <c r="L121" i="1"/>
  <c r="L113" i="1"/>
  <c r="L105" i="1"/>
  <c r="L97" i="1"/>
  <c r="L89" i="1"/>
  <c r="L81" i="1"/>
  <c r="L73" i="1"/>
  <c r="L65" i="1"/>
  <c r="L57" i="1"/>
  <c r="L49" i="1"/>
  <c r="L41" i="1"/>
  <c r="L33" i="1"/>
  <c r="L25" i="1"/>
  <c r="AH10" i="1" l="1" a="1"/>
  <c r="AH10" i="1" s="1"/>
  <c r="L10" i="1" a="1"/>
  <c r="L10" i="1" s="1"/>
  <c r="X24" i="1"/>
  <c r="L5" i="1"/>
  <c r="M24" i="1"/>
  <c r="W24" i="1"/>
  <c r="F26" i="1"/>
  <c r="M25" i="1" s="1"/>
  <c r="AB5" i="1"/>
  <c r="H25" i="1"/>
  <c r="K25" i="1" s="1"/>
  <c r="U45" i="1"/>
  <c r="U44" i="1"/>
  <c r="U25" i="1"/>
  <c r="U26" i="1"/>
  <c r="U27" i="1"/>
  <c r="U28" i="1"/>
  <c r="U29" i="1"/>
  <c r="U30" i="1"/>
  <c r="U31" i="1" a="1"/>
  <c r="U31" i="1" s="1"/>
  <c r="U32" i="1"/>
  <c r="U33" i="1"/>
  <c r="U34" i="1"/>
  <c r="U35" i="1"/>
  <c r="U36" i="1"/>
  <c r="U37" i="1"/>
  <c r="U38" i="1"/>
  <c r="U39" i="1"/>
  <c r="U40" i="1"/>
  <c r="U41" i="1" a="1"/>
  <c r="U41" i="1" s="1"/>
  <c r="U42" i="1"/>
  <c r="U43" i="1"/>
  <c r="AI10" i="1" a="1"/>
  <c r="M10" i="1" a="1"/>
  <c r="M10" i="1" l="1"/>
  <c r="AI10" i="1"/>
  <c r="X25" i="1"/>
  <c r="F27" i="1"/>
  <c r="H26" i="1"/>
  <c r="K26" i="1" s="1"/>
  <c r="AL10" i="1" a="1"/>
  <c r="AL10" i="1" s="1"/>
  <c r="AB10" i="1" a="1"/>
  <c r="AB10" i="1" s="1"/>
  <c r="AH5" i="1"/>
  <c r="AL5" i="1"/>
  <c r="U48" i="1"/>
  <c r="U47" i="1"/>
  <c r="U46" i="1"/>
  <c r="AC10" i="1" a="1"/>
  <c r="AM10" i="1" a="1"/>
  <c r="AC10" i="1" l="1"/>
  <c r="AM10" i="1"/>
  <c r="M26" i="1"/>
  <c r="X26" i="1"/>
  <c r="H27" i="1"/>
  <c r="K27" i="1" s="1"/>
  <c r="F28" i="1"/>
  <c r="M27" i="1" s="1"/>
  <c r="W25" i="1"/>
  <c r="AH7" i="1"/>
  <c r="W26" i="1" l="1"/>
  <c r="W27" i="1" s="1"/>
  <c r="X27" i="1"/>
  <c r="F29" i="1"/>
  <c r="H28" i="1"/>
  <c r="K28" i="1" s="1"/>
  <c r="N25" i="1"/>
  <c r="O24" i="1" s="1"/>
  <c r="X28" i="1" l="1"/>
  <c r="W28" i="1"/>
  <c r="F30" i="1"/>
  <c r="M28" i="1"/>
  <c r="H29" i="1"/>
  <c r="K29" i="1" s="1"/>
  <c r="N26" i="1"/>
  <c r="O25" i="1" s="1"/>
  <c r="M29" i="1" l="1"/>
  <c r="F31" i="1"/>
  <c r="M30" i="1" s="1"/>
  <c r="H30" i="1"/>
  <c r="K30" i="1" s="1"/>
  <c r="N27" i="1"/>
  <c r="N28" i="1" s="1"/>
  <c r="O27" i="1" s="1"/>
  <c r="X29" i="1" l="1"/>
  <c r="W29" i="1"/>
  <c r="F32" i="1"/>
  <c r="M31" i="1" s="1"/>
  <c r="H31" i="1"/>
  <c r="K31" i="1" s="1"/>
  <c r="O26" i="1"/>
  <c r="N29" i="1"/>
  <c r="O28" i="1" s="1"/>
  <c r="X30" i="1" l="1"/>
  <c r="X31" i="1" s="1"/>
  <c r="W30" i="1"/>
  <c r="W31" i="1" s="1"/>
  <c r="F33" i="1"/>
  <c r="M32" i="1" s="1"/>
  <c r="H32" i="1"/>
  <c r="K32" i="1" s="1"/>
  <c r="N30" i="1"/>
  <c r="O29" i="1" s="1"/>
  <c r="X32" i="1" l="1"/>
  <c r="W32" i="1"/>
  <c r="F34" i="1"/>
  <c r="M33" i="1" s="1"/>
  <c r="H33" i="1"/>
  <c r="K33" i="1" s="1"/>
  <c r="N31" i="1"/>
  <c r="O30" i="1" s="1"/>
  <c r="X33" i="1" l="1"/>
  <c r="H34" i="1"/>
  <c r="K34" i="1" s="1"/>
  <c r="F35" i="1"/>
  <c r="M34" i="1" s="1"/>
  <c r="W33" i="1"/>
  <c r="N32" i="1"/>
  <c r="O31" i="1" s="1"/>
  <c r="X34" i="1" l="1"/>
  <c r="F36" i="1"/>
  <c r="M35" i="1" s="1"/>
  <c r="H35" i="1"/>
  <c r="K35" i="1" s="1"/>
  <c r="W34" i="1"/>
  <c r="N33" i="1"/>
  <c r="O32" i="1" s="1"/>
  <c r="W35" i="1" l="1"/>
  <c r="F37" i="1"/>
  <c r="M36" i="1" s="1"/>
  <c r="H36" i="1"/>
  <c r="K36" i="1" s="1"/>
  <c r="N34" i="1"/>
  <c r="O33" i="1" s="1"/>
  <c r="X35" i="1" l="1"/>
  <c r="X36" i="1" s="1"/>
  <c r="H37" i="1"/>
  <c r="K37" i="1" s="1"/>
  <c r="F38" i="1"/>
  <c r="M37" i="1" s="1"/>
  <c r="W36" i="1"/>
  <c r="N35" i="1"/>
  <c r="O34" i="1" s="1"/>
  <c r="X37" i="1" l="1"/>
  <c r="F39" i="1"/>
  <c r="M38" i="1" s="1"/>
  <c r="H38" i="1"/>
  <c r="K38" i="1" s="1"/>
  <c r="W37" i="1"/>
  <c r="N36" i="1"/>
  <c r="X38" i="1" l="1"/>
  <c r="F40" i="1"/>
  <c r="M39" i="1" s="1"/>
  <c r="H39" i="1"/>
  <c r="K39" i="1" s="1"/>
  <c r="W38" i="1"/>
  <c r="O35" i="1"/>
  <c r="N37" i="1"/>
  <c r="N38" i="1" s="1"/>
  <c r="N39" i="1" s="1"/>
  <c r="X39" i="1" l="1"/>
  <c r="F41" i="1"/>
  <c r="M40" i="1" s="1"/>
  <c r="H40" i="1"/>
  <c r="K40" i="1" s="1"/>
  <c r="W39" i="1"/>
  <c r="O37" i="1"/>
  <c r="O36" i="1"/>
  <c r="O38" i="1"/>
  <c r="N40" i="1"/>
  <c r="X40" i="1" l="1"/>
  <c r="F42" i="1"/>
  <c r="M41" i="1" s="1"/>
  <c r="H41" i="1"/>
  <c r="K41" i="1" s="1"/>
  <c r="W40" i="1"/>
  <c r="O39" i="1"/>
  <c r="N41" i="1"/>
  <c r="X41" i="1" l="1"/>
  <c r="F43" i="1"/>
  <c r="M42" i="1" s="1"/>
  <c r="H42" i="1"/>
  <c r="K42" i="1" s="1"/>
  <c r="W41" i="1"/>
  <c r="O40" i="1"/>
  <c r="N42" i="1"/>
  <c r="X42" i="1" l="1"/>
  <c r="W42" i="1"/>
  <c r="F44" i="1"/>
  <c r="M43" i="1" s="1"/>
  <c r="H43" i="1"/>
  <c r="K43" i="1" s="1"/>
  <c r="O41" i="1"/>
  <c r="N43" i="1"/>
  <c r="W43" i="1" l="1"/>
  <c r="F45" i="1"/>
  <c r="M44" i="1" s="1"/>
  <c r="H44" i="1"/>
  <c r="K44" i="1" s="1"/>
  <c r="O42" i="1"/>
  <c r="N44" i="1"/>
  <c r="X43" i="1" l="1"/>
  <c r="X44" i="1" s="1"/>
  <c r="F46" i="1"/>
  <c r="M45" i="1" s="1"/>
  <c r="H45" i="1"/>
  <c r="K45" i="1" s="1"/>
  <c r="O43" i="1"/>
  <c r="N45" i="1"/>
  <c r="W44" i="1" l="1"/>
  <c r="F47" i="1"/>
  <c r="M46" i="1" s="1"/>
  <c r="H46" i="1"/>
  <c r="K46" i="1" s="1"/>
  <c r="O44" i="1"/>
  <c r="N46" i="1"/>
  <c r="X45" i="1" l="1"/>
  <c r="X46" i="1" s="1"/>
  <c r="W45" i="1"/>
  <c r="F48" i="1"/>
  <c r="M47" i="1" s="1"/>
  <c r="H47" i="1"/>
  <c r="K47" i="1" s="1"/>
  <c r="O45" i="1"/>
  <c r="N47" i="1"/>
  <c r="X47" i="1" l="1"/>
  <c r="W46" i="1"/>
  <c r="W47" i="1" s="1"/>
  <c r="H48" i="1"/>
  <c r="K48" i="1" s="1"/>
  <c r="F49" i="1"/>
  <c r="M48" i="1" s="1"/>
  <c r="O46" i="1"/>
  <c r="N48" i="1"/>
  <c r="X48" i="1" l="1"/>
  <c r="W48" i="1"/>
  <c r="F50" i="1"/>
  <c r="M49" i="1" s="1"/>
  <c r="H49" i="1"/>
  <c r="K49" i="1" s="1"/>
  <c r="O47" i="1"/>
  <c r="N49" i="1"/>
  <c r="X49" i="1" l="1"/>
  <c r="W49" i="1"/>
  <c r="H50" i="1"/>
  <c r="K50" i="1" s="1"/>
  <c r="F51" i="1"/>
  <c r="M50" i="1" s="1"/>
  <c r="O48" i="1"/>
  <c r="N50" i="1"/>
  <c r="X50" i="1" l="1"/>
  <c r="F52" i="1"/>
  <c r="M51" i="1" s="1"/>
  <c r="W50" i="1"/>
  <c r="H51" i="1"/>
  <c r="K51" i="1" s="1"/>
  <c r="O49" i="1"/>
  <c r="N51" i="1"/>
  <c r="X51" i="1" l="1"/>
  <c r="F53" i="1"/>
  <c r="M52" i="1" s="1"/>
  <c r="H52" i="1"/>
  <c r="K52" i="1" s="1"/>
  <c r="W51" i="1"/>
  <c r="O50" i="1"/>
  <c r="N52" i="1"/>
  <c r="X52" i="1" l="1"/>
  <c r="W52" i="1"/>
  <c r="F54" i="1"/>
  <c r="M53" i="1" s="1"/>
  <c r="H53" i="1"/>
  <c r="K53" i="1" s="1"/>
  <c r="O51" i="1"/>
  <c r="N53" i="1"/>
  <c r="W53" i="1" l="1"/>
  <c r="X53" i="1"/>
  <c r="F55" i="1"/>
  <c r="M54" i="1" s="1"/>
  <c r="H54" i="1"/>
  <c r="K54" i="1" s="1"/>
  <c r="O52" i="1"/>
  <c r="N54" i="1"/>
  <c r="X54" i="1" l="1"/>
  <c r="W54" i="1"/>
  <c r="F56" i="1"/>
  <c r="M55" i="1" s="1"/>
  <c r="H55" i="1"/>
  <c r="K55" i="1" s="1"/>
  <c r="O53" i="1"/>
  <c r="N55" i="1"/>
  <c r="X55" i="1" l="1"/>
  <c r="W55" i="1"/>
  <c r="F57" i="1"/>
  <c r="M56" i="1" s="1"/>
  <c r="H56" i="1"/>
  <c r="K56" i="1" s="1"/>
  <c r="O54" i="1"/>
  <c r="N56" i="1"/>
  <c r="W56" i="1" l="1"/>
  <c r="X56" i="1"/>
  <c r="F58" i="1"/>
  <c r="M57" i="1" s="1"/>
  <c r="H57" i="1"/>
  <c r="K57" i="1" s="1"/>
  <c r="O55" i="1"/>
  <c r="N57" i="1"/>
  <c r="W57" i="1" l="1"/>
  <c r="X57" i="1"/>
  <c r="F59" i="1"/>
  <c r="M58" i="1" s="1"/>
  <c r="H58" i="1"/>
  <c r="K58" i="1" s="1"/>
  <c r="O56" i="1"/>
  <c r="N58" i="1"/>
  <c r="W58" i="1" l="1"/>
  <c r="X58" i="1"/>
  <c r="F60" i="1"/>
  <c r="M59" i="1" s="1"/>
  <c r="H59" i="1"/>
  <c r="K59" i="1" s="1"/>
  <c r="O57" i="1"/>
  <c r="N59" i="1"/>
  <c r="W59" i="1" l="1"/>
  <c r="X59" i="1"/>
  <c r="F61" i="1"/>
  <c r="M60" i="1" s="1"/>
  <c r="H60" i="1"/>
  <c r="K60" i="1" s="1"/>
  <c r="O58" i="1"/>
  <c r="N60" i="1"/>
  <c r="X60" i="1" l="1"/>
  <c r="W60" i="1"/>
  <c r="F62" i="1"/>
  <c r="M61" i="1" s="1"/>
  <c r="H61" i="1"/>
  <c r="K61" i="1" s="1"/>
  <c r="O59" i="1"/>
  <c r="N61" i="1"/>
  <c r="W61" i="1" l="1"/>
  <c r="X61" i="1"/>
  <c r="F63" i="1"/>
  <c r="M62" i="1" s="1"/>
  <c r="H62" i="1"/>
  <c r="K62" i="1" s="1"/>
  <c r="O60" i="1"/>
  <c r="N62" i="1"/>
  <c r="X62" i="1" l="1"/>
  <c r="W62" i="1"/>
  <c r="F64" i="1"/>
  <c r="M63" i="1" s="1"/>
  <c r="H63" i="1"/>
  <c r="K63" i="1" s="1"/>
  <c r="O61" i="1"/>
  <c r="N63" i="1"/>
  <c r="W63" i="1" l="1"/>
  <c r="X63" i="1"/>
  <c r="H64" i="1"/>
  <c r="K64" i="1" s="1"/>
  <c r="F65" i="1"/>
  <c r="M64" i="1" s="1"/>
  <c r="O62" i="1"/>
  <c r="N64" i="1"/>
  <c r="X64" i="1" l="1"/>
  <c r="W64" i="1"/>
  <c r="W65" i="1" s="1"/>
  <c r="F66" i="1"/>
  <c r="M65" i="1" s="1"/>
  <c r="H65" i="1"/>
  <c r="K65" i="1" s="1"/>
  <c r="O63" i="1"/>
  <c r="N65" i="1"/>
  <c r="X65" i="1" l="1"/>
  <c r="F67" i="1"/>
  <c r="M66" i="1" s="1"/>
  <c r="H66" i="1"/>
  <c r="K66" i="1" s="1"/>
  <c r="O64" i="1"/>
  <c r="N66" i="1"/>
  <c r="X66" i="1" l="1"/>
  <c r="W66" i="1"/>
  <c r="F68" i="1"/>
  <c r="M67" i="1" s="1"/>
  <c r="H67" i="1"/>
  <c r="K67" i="1" s="1"/>
  <c r="O65" i="1"/>
  <c r="N67" i="1"/>
  <c r="X67" i="1" l="1"/>
  <c r="W67" i="1"/>
  <c r="F69" i="1"/>
  <c r="M68" i="1" s="1"/>
  <c r="H68" i="1"/>
  <c r="K68" i="1" s="1"/>
  <c r="O66" i="1"/>
  <c r="N68" i="1"/>
  <c r="X68" i="1" l="1"/>
  <c r="W68" i="1"/>
  <c r="F70" i="1"/>
  <c r="M69" i="1" s="1"/>
  <c r="H69" i="1"/>
  <c r="K69" i="1" s="1"/>
  <c r="O67" i="1"/>
  <c r="N69" i="1"/>
  <c r="X69" i="1" l="1"/>
  <c r="F71" i="1"/>
  <c r="M70" i="1" s="1"/>
  <c r="W69" i="1"/>
  <c r="H70" i="1"/>
  <c r="K70" i="1" s="1"/>
  <c r="O68" i="1"/>
  <c r="N70" i="1"/>
  <c r="X70" i="1" l="1"/>
  <c r="F72" i="1"/>
  <c r="M71" i="1" s="1"/>
  <c r="H71" i="1"/>
  <c r="K71" i="1" s="1"/>
  <c r="W70" i="1"/>
  <c r="O69" i="1"/>
  <c r="N71" i="1"/>
  <c r="X71" i="1" l="1"/>
  <c r="W71" i="1"/>
  <c r="W72" i="1" s="1"/>
  <c r="F73" i="1"/>
  <c r="M72" i="1" s="1"/>
  <c r="H72" i="1"/>
  <c r="K72" i="1" s="1"/>
  <c r="O70" i="1"/>
  <c r="N72" i="1"/>
  <c r="X72" i="1" l="1"/>
  <c r="F74" i="1"/>
  <c r="M73" i="1" s="1"/>
  <c r="H73" i="1"/>
  <c r="K73" i="1" s="1"/>
  <c r="O71" i="1"/>
  <c r="N73" i="1"/>
  <c r="X73" i="1" l="1"/>
  <c r="W73" i="1"/>
  <c r="F75" i="1"/>
  <c r="M74" i="1" s="1"/>
  <c r="H74" i="1"/>
  <c r="K74" i="1" s="1"/>
  <c r="O72" i="1"/>
  <c r="N74" i="1"/>
  <c r="W74" i="1" l="1"/>
  <c r="X74" i="1"/>
  <c r="F76" i="1"/>
  <c r="M75" i="1" s="1"/>
  <c r="H75" i="1"/>
  <c r="K75" i="1" s="1"/>
  <c r="O73" i="1"/>
  <c r="N75" i="1"/>
  <c r="X75" i="1" l="1"/>
  <c r="W75" i="1"/>
  <c r="W76" i="1" s="1"/>
  <c r="F77" i="1"/>
  <c r="M76" i="1" s="1"/>
  <c r="H76" i="1"/>
  <c r="K76" i="1" s="1"/>
  <c r="O74" i="1"/>
  <c r="N76" i="1"/>
  <c r="X76" i="1" l="1"/>
  <c r="F78" i="1"/>
  <c r="M77" i="1" s="1"/>
  <c r="H77" i="1"/>
  <c r="K77" i="1" s="1"/>
  <c r="O75" i="1"/>
  <c r="N77" i="1"/>
  <c r="X77" i="1" l="1"/>
  <c r="W77" i="1"/>
  <c r="F79" i="1"/>
  <c r="M78" i="1" s="1"/>
  <c r="H78" i="1"/>
  <c r="K78" i="1" s="1"/>
  <c r="O76" i="1"/>
  <c r="N78" i="1"/>
  <c r="X78" i="1" l="1"/>
  <c r="F80" i="1"/>
  <c r="M79" i="1" s="1"/>
  <c r="H79" i="1"/>
  <c r="K79" i="1" s="1"/>
  <c r="W78" i="1"/>
  <c r="O77" i="1"/>
  <c r="N79" i="1"/>
  <c r="X79" i="1" l="1"/>
  <c r="W79" i="1"/>
  <c r="H80" i="1"/>
  <c r="K80" i="1" s="1"/>
  <c r="F81" i="1"/>
  <c r="M80" i="1" s="1"/>
  <c r="O78" i="1"/>
  <c r="N80" i="1"/>
  <c r="X80" i="1" l="1"/>
  <c r="F82" i="1"/>
  <c r="M81" i="1" s="1"/>
  <c r="H81" i="1"/>
  <c r="K81" i="1" s="1"/>
  <c r="W80" i="1"/>
  <c r="O79" i="1"/>
  <c r="N81" i="1"/>
  <c r="X81" i="1" l="1"/>
  <c r="W81" i="1"/>
  <c r="F83" i="1"/>
  <c r="M82" i="1" s="1"/>
  <c r="H82" i="1"/>
  <c r="K82" i="1" s="1"/>
  <c r="O80" i="1"/>
  <c r="N82" i="1"/>
  <c r="W82" i="1" l="1"/>
  <c r="X82" i="1"/>
  <c r="F84" i="1"/>
  <c r="M83" i="1" s="1"/>
  <c r="H83" i="1"/>
  <c r="K83" i="1" s="1"/>
  <c r="O81" i="1"/>
  <c r="N83" i="1"/>
  <c r="W83" i="1" l="1"/>
  <c r="X83" i="1"/>
  <c r="F85" i="1"/>
  <c r="M84" i="1" s="1"/>
  <c r="H84" i="1"/>
  <c r="K84" i="1" s="1"/>
  <c r="O82" i="1"/>
  <c r="N84" i="1"/>
  <c r="X84" i="1" l="1"/>
  <c r="W84" i="1"/>
  <c r="F86" i="1"/>
  <c r="M85" i="1" s="1"/>
  <c r="H85" i="1"/>
  <c r="K85" i="1" s="1"/>
  <c r="O83" i="1"/>
  <c r="N85" i="1"/>
  <c r="X85" i="1" l="1"/>
  <c r="W85" i="1"/>
  <c r="F87" i="1"/>
  <c r="M86" i="1" s="1"/>
  <c r="H86" i="1"/>
  <c r="K86" i="1" s="1"/>
  <c r="O84" i="1"/>
  <c r="N86" i="1"/>
  <c r="X86" i="1" l="1"/>
  <c r="W86" i="1"/>
  <c r="H87" i="1"/>
  <c r="K87" i="1" s="1"/>
  <c r="F88" i="1"/>
  <c r="M87" i="1" s="1"/>
  <c r="O85" i="1"/>
  <c r="N87" i="1"/>
  <c r="X87" i="1" l="1"/>
  <c r="W87" i="1"/>
  <c r="F89" i="1"/>
  <c r="M88" i="1" s="1"/>
  <c r="H88" i="1"/>
  <c r="K88" i="1" s="1"/>
  <c r="O86" i="1"/>
  <c r="N88" i="1"/>
  <c r="X88" i="1" l="1"/>
  <c r="W88" i="1"/>
  <c r="H89" i="1"/>
  <c r="K89" i="1" s="1"/>
  <c r="F90" i="1"/>
  <c r="M89" i="1" s="1"/>
  <c r="O87" i="1"/>
  <c r="N89" i="1"/>
  <c r="X89" i="1" l="1"/>
  <c r="W89" i="1"/>
  <c r="F91" i="1"/>
  <c r="M90" i="1" s="1"/>
  <c r="H90" i="1"/>
  <c r="K90" i="1" s="1"/>
  <c r="O88" i="1"/>
  <c r="N90" i="1"/>
  <c r="X90" i="1" l="1"/>
  <c r="W90" i="1"/>
  <c r="F92" i="1"/>
  <c r="M91" i="1" s="1"/>
  <c r="H91" i="1"/>
  <c r="K91" i="1" s="1"/>
  <c r="O89" i="1"/>
  <c r="N91" i="1"/>
  <c r="X91" i="1" l="1"/>
  <c r="W91" i="1"/>
  <c r="F93" i="1"/>
  <c r="M92" i="1" s="1"/>
  <c r="H92" i="1"/>
  <c r="K92" i="1" s="1"/>
  <c r="O90" i="1"/>
  <c r="N92" i="1"/>
  <c r="X92" i="1" l="1"/>
  <c r="W92" i="1"/>
  <c r="F94" i="1"/>
  <c r="M93" i="1" s="1"/>
  <c r="H93" i="1"/>
  <c r="K93" i="1" s="1"/>
  <c r="O91" i="1"/>
  <c r="N93" i="1"/>
  <c r="W93" i="1" l="1"/>
  <c r="X93" i="1"/>
  <c r="F95" i="1"/>
  <c r="M94" i="1" s="1"/>
  <c r="H94" i="1"/>
  <c r="K94" i="1" s="1"/>
  <c r="O92" i="1"/>
  <c r="N94" i="1"/>
  <c r="X94" i="1" l="1"/>
  <c r="W94" i="1"/>
  <c r="F96" i="1"/>
  <c r="M95" i="1" s="1"/>
  <c r="H95" i="1"/>
  <c r="K95" i="1" s="1"/>
  <c r="O93" i="1"/>
  <c r="N95" i="1"/>
  <c r="W95" i="1" l="1"/>
  <c r="X95" i="1"/>
  <c r="F97" i="1"/>
  <c r="M96" i="1" s="1"/>
  <c r="H96" i="1"/>
  <c r="K96" i="1" s="1"/>
  <c r="O94" i="1"/>
  <c r="N96" i="1"/>
  <c r="X96" i="1" l="1"/>
  <c r="F98" i="1"/>
  <c r="M97" i="1" s="1"/>
  <c r="H97" i="1"/>
  <c r="K97" i="1" s="1"/>
  <c r="W96" i="1"/>
  <c r="O95" i="1"/>
  <c r="N97" i="1"/>
  <c r="X97" i="1" l="1"/>
  <c r="W97" i="1"/>
  <c r="F99" i="1"/>
  <c r="M98" i="1" s="1"/>
  <c r="H98" i="1"/>
  <c r="K98" i="1" s="1"/>
  <c r="O96" i="1"/>
  <c r="N98" i="1"/>
  <c r="X98" i="1" l="1"/>
  <c r="W98" i="1"/>
  <c r="F100" i="1"/>
  <c r="M99" i="1" s="1"/>
  <c r="H99" i="1"/>
  <c r="K99" i="1" s="1"/>
  <c r="O97" i="1"/>
  <c r="N99" i="1"/>
  <c r="X99" i="1" l="1"/>
  <c r="W99" i="1"/>
  <c r="F101" i="1"/>
  <c r="M100" i="1" s="1"/>
  <c r="H100" i="1"/>
  <c r="K100" i="1" s="1"/>
  <c r="O98" i="1"/>
  <c r="N100" i="1"/>
  <c r="F102" i="1" l="1"/>
  <c r="M101" i="1" s="1"/>
  <c r="H101" i="1"/>
  <c r="K101" i="1" s="1"/>
  <c r="X100" i="1"/>
  <c r="W100" i="1"/>
  <c r="O99" i="1"/>
  <c r="N101" i="1"/>
  <c r="X101" i="1" l="1"/>
  <c r="F103" i="1"/>
  <c r="M102" i="1" s="1"/>
  <c r="H102" i="1"/>
  <c r="K102" i="1" s="1"/>
  <c r="W101" i="1"/>
  <c r="O100" i="1"/>
  <c r="N102" i="1"/>
  <c r="W102" i="1" l="1"/>
  <c r="F104" i="1"/>
  <c r="M103" i="1" s="1"/>
  <c r="H103" i="1"/>
  <c r="K103" i="1" s="1"/>
  <c r="X103" i="1"/>
  <c r="X102" i="1"/>
  <c r="O101" i="1"/>
  <c r="N103" i="1"/>
  <c r="W103" i="1" l="1"/>
  <c r="F105" i="1"/>
  <c r="M104" i="1" s="1"/>
  <c r="H104" i="1"/>
  <c r="K104" i="1" s="1"/>
  <c r="X104" i="1"/>
  <c r="O102" i="1"/>
  <c r="N104" i="1"/>
  <c r="W104" i="1" l="1"/>
  <c r="F106" i="1"/>
  <c r="M105" i="1" s="1"/>
  <c r="H105" i="1"/>
  <c r="K105" i="1" s="1"/>
  <c r="O103" i="1"/>
  <c r="N105" i="1"/>
  <c r="W105" i="1" l="1"/>
  <c r="X105" i="1"/>
  <c r="F107" i="1"/>
  <c r="M106" i="1" s="1"/>
  <c r="H106" i="1"/>
  <c r="K106" i="1" s="1"/>
  <c r="O104" i="1"/>
  <c r="N106" i="1"/>
  <c r="W106" i="1" l="1"/>
  <c r="H107" i="1"/>
  <c r="K107" i="1" s="1"/>
  <c r="F108" i="1"/>
  <c r="M107" i="1" s="1"/>
  <c r="X106" i="1"/>
  <c r="O105" i="1"/>
  <c r="N107" i="1"/>
  <c r="H108" i="1" l="1"/>
  <c r="K108" i="1" s="1"/>
  <c r="F109" i="1"/>
  <c r="M108" i="1" s="1"/>
  <c r="W107" i="1"/>
  <c r="W108" i="1" s="1"/>
  <c r="X107" i="1"/>
  <c r="X108" i="1" s="1"/>
  <c r="O106" i="1"/>
  <c r="N108" i="1"/>
  <c r="F110" i="1" l="1"/>
  <c r="M109" i="1" s="1"/>
  <c r="H109" i="1"/>
  <c r="K109" i="1" s="1"/>
  <c r="W109" i="1" s="1"/>
  <c r="X109" i="1"/>
  <c r="O107" i="1"/>
  <c r="N109" i="1"/>
  <c r="F111" i="1" l="1"/>
  <c r="M110" i="1" s="1"/>
  <c r="H110" i="1"/>
  <c r="K110" i="1" s="1"/>
  <c r="O108" i="1"/>
  <c r="N110" i="1"/>
  <c r="F112" i="1" l="1"/>
  <c r="M111" i="1" s="1"/>
  <c r="H111" i="1"/>
  <c r="K111" i="1" s="1"/>
  <c r="X110" i="1"/>
  <c r="W110" i="1"/>
  <c r="O109" i="1"/>
  <c r="N111" i="1"/>
  <c r="X111" i="1" l="1"/>
  <c r="W111" i="1"/>
  <c r="F113" i="1"/>
  <c r="M112" i="1" s="1"/>
  <c r="H112" i="1"/>
  <c r="K112" i="1" s="1"/>
  <c r="O110" i="1"/>
  <c r="N112" i="1"/>
  <c r="F114" i="1" l="1"/>
  <c r="M113" i="1" s="1"/>
  <c r="H113" i="1"/>
  <c r="K113" i="1" s="1"/>
  <c r="X112" i="1"/>
  <c r="W112" i="1"/>
  <c r="W113" i="1"/>
  <c r="O111" i="1"/>
  <c r="N113" i="1"/>
  <c r="H114" i="1" l="1"/>
  <c r="K114" i="1" s="1"/>
  <c r="F115" i="1"/>
  <c r="M114" i="1" s="1"/>
  <c r="X113" i="1"/>
  <c r="O112" i="1"/>
  <c r="N114" i="1"/>
  <c r="X114" i="1" l="1"/>
  <c r="W114" i="1"/>
  <c r="F116" i="1"/>
  <c r="M115" i="1" s="1"/>
  <c r="H115" i="1"/>
  <c r="K115" i="1" s="1"/>
  <c r="O113" i="1"/>
  <c r="N115" i="1"/>
  <c r="X115" i="1" l="1"/>
  <c r="W115" i="1"/>
  <c r="F117" i="1"/>
  <c r="M116" i="1" s="1"/>
  <c r="H116" i="1"/>
  <c r="K116" i="1" s="1"/>
  <c r="O114" i="1"/>
  <c r="N116" i="1"/>
  <c r="F118" i="1" l="1"/>
  <c r="M117" i="1" s="1"/>
  <c r="H117" i="1"/>
  <c r="K117" i="1" s="1"/>
  <c r="X117" i="1"/>
  <c r="X116" i="1"/>
  <c r="W116" i="1"/>
  <c r="W117" i="1" s="1"/>
  <c r="O115" i="1"/>
  <c r="N117" i="1"/>
  <c r="F119" i="1" l="1"/>
  <c r="M118" i="1" s="1"/>
  <c r="H118" i="1"/>
  <c r="K118" i="1" s="1"/>
  <c r="W118" i="1"/>
  <c r="O116" i="1"/>
  <c r="N118" i="1"/>
  <c r="X118" i="1" l="1"/>
  <c r="F120" i="1"/>
  <c r="M119" i="1" s="1"/>
  <c r="H119" i="1"/>
  <c r="K119" i="1" s="1"/>
  <c r="O117" i="1"/>
  <c r="N119" i="1"/>
  <c r="W119" i="1" l="1"/>
  <c r="X119" i="1"/>
  <c r="F121" i="1"/>
  <c r="M120" i="1" s="1"/>
  <c r="H120" i="1"/>
  <c r="K120" i="1" s="1"/>
  <c r="O118" i="1"/>
  <c r="N120" i="1"/>
  <c r="X120" i="1" l="1"/>
  <c r="W120" i="1"/>
  <c r="F122" i="1"/>
  <c r="M121" i="1" s="1"/>
  <c r="H121" i="1"/>
  <c r="K121" i="1" s="1"/>
  <c r="X121" i="1"/>
  <c r="O119" i="1"/>
  <c r="N121" i="1"/>
  <c r="W121" i="1" l="1"/>
  <c r="F123" i="1"/>
  <c r="M122" i="1" s="1"/>
  <c r="H122" i="1"/>
  <c r="K122" i="1" s="1"/>
  <c r="O120" i="1"/>
  <c r="N122" i="1"/>
  <c r="F124" i="1" l="1"/>
  <c r="AL15" i="1"/>
  <c r="AH15" i="1"/>
  <c r="H123" i="1"/>
  <c r="K123" i="1" s="1"/>
  <c r="X122" i="1"/>
  <c r="X123" i="1" s="1"/>
  <c r="AH12" i="1" s="1"/>
  <c r="W122" i="1"/>
  <c r="O121" i="1"/>
  <c r="N123" i="1"/>
  <c r="AH11" i="1"/>
  <c r="AL11" i="1"/>
  <c r="AM14" i="1" l="1" a="1"/>
  <c r="AM14" i="1" s="1"/>
  <c r="AI14" i="1" a="1"/>
  <c r="AI14" i="1" s="1"/>
  <c r="AH14" i="1" s="1" a="1"/>
  <c r="AH14" i="1" s="1"/>
  <c r="M123" i="1"/>
  <c r="AH18" i="1"/>
  <c r="AL20" i="1" s="1"/>
  <c r="AL6" i="1"/>
  <c r="AL8" i="1" s="1"/>
  <c r="AL9" i="1" s="1"/>
  <c r="AH6" i="1"/>
  <c r="AH8" i="1" s="1"/>
  <c r="AH9" i="1" s="1"/>
  <c r="F125" i="1"/>
  <c r="M124" i="1" s="1"/>
  <c r="H124" i="1"/>
  <c r="K124" i="1" s="1"/>
  <c r="X124" i="1" s="1"/>
  <c r="W123" i="1"/>
  <c r="AL12" i="1" s="1"/>
  <c r="O122" i="1"/>
  <c r="N124" i="1"/>
  <c r="W124" i="1" l="1"/>
  <c r="W125" i="1" s="1"/>
  <c r="F126" i="1"/>
  <c r="M125" i="1" s="1"/>
  <c r="H125" i="1"/>
  <c r="K125" i="1" s="1"/>
  <c r="AL18" i="1"/>
  <c r="AH20" i="1"/>
  <c r="O123" i="1"/>
  <c r="N125" i="1"/>
  <c r="X125" i="1" l="1"/>
  <c r="AL14" i="1" a="1"/>
  <c r="AL14" i="1" s="1"/>
  <c r="F127" i="1"/>
  <c r="M126" i="1" s="1"/>
  <c r="H126" i="1"/>
  <c r="K126" i="1" s="1"/>
  <c r="O124" i="1"/>
  <c r="N126" i="1"/>
  <c r="W126" i="1" l="1"/>
  <c r="F128" i="1"/>
  <c r="M127" i="1" s="1"/>
  <c r="H127" i="1"/>
  <c r="K127" i="1" s="1"/>
  <c r="X126" i="1"/>
  <c r="W127" i="1"/>
  <c r="O125" i="1"/>
  <c r="N127" i="1"/>
  <c r="F129" i="1" l="1"/>
  <c r="M128" i="1" s="1"/>
  <c r="H128" i="1"/>
  <c r="K128" i="1" s="1"/>
  <c r="X128" i="1" s="1"/>
  <c r="X127" i="1"/>
  <c r="O126" i="1"/>
  <c r="N128" i="1"/>
  <c r="W128" i="1" l="1"/>
  <c r="F130" i="1"/>
  <c r="M129" i="1" s="1"/>
  <c r="H129" i="1"/>
  <c r="K129" i="1" s="1"/>
  <c r="W129" i="1" s="1"/>
  <c r="O127" i="1"/>
  <c r="N129" i="1"/>
  <c r="X129" i="1" l="1"/>
  <c r="F131" i="1"/>
  <c r="M130" i="1" s="1"/>
  <c r="H130" i="1"/>
  <c r="K130" i="1" s="1"/>
  <c r="W130" i="1"/>
  <c r="O128" i="1"/>
  <c r="N130" i="1"/>
  <c r="F132" i="1" l="1"/>
  <c r="M131" i="1" s="1"/>
  <c r="H131" i="1"/>
  <c r="K131" i="1" s="1"/>
  <c r="X130" i="1"/>
  <c r="O129" i="1"/>
  <c r="N131" i="1"/>
  <c r="W131" i="1" l="1"/>
  <c r="X131" i="1"/>
  <c r="F133" i="1"/>
  <c r="M132" i="1" s="1"/>
  <c r="H132" i="1"/>
  <c r="K132" i="1" s="1"/>
  <c r="O130" i="1"/>
  <c r="N132" i="1"/>
  <c r="F134" i="1" l="1"/>
  <c r="M133" i="1" s="1"/>
  <c r="H133" i="1"/>
  <c r="K133" i="1" s="1"/>
  <c r="X132" i="1"/>
  <c r="W132" i="1"/>
  <c r="W133" i="1" s="1"/>
  <c r="X133" i="1"/>
  <c r="O131" i="1"/>
  <c r="N133" i="1"/>
  <c r="F135" i="1" l="1"/>
  <c r="M134" i="1" s="1"/>
  <c r="H134" i="1"/>
  <c r="K134" i="1" s="1"/>
  <c r="O132" i="1"/>
  <c r="N134" i="1"/>
  <c r="X134" i="1" l="1"/>
  <c r="W134" i="1"/>
  <c r="F136" i="1"/>
  <c r="M135" i="1" s="1"/>
  <c r="H135" i="1"/>
  <c r="K135" i="1" s="1"/>
  <c r="W135" i="1"/>
  <c r="O133" i="1"/>
  <c r="N135" i="1"/>
  <c r="X135" i="1" l="1"/>
  <c r="F137" i="1"/>
  <c r="M136" i="1" s="1"/>
  <c r="H136" i="1"/>
  <c r="K136" i="1" s="1"/>
  <c r="W136" i="1"/>
  <c r="O134" i="1"/>
  <c r="N136" i="1"/>
  <c r="F138" i="1" l="1"/>
  <c r="M137" i="1" s="1"/>
  <c r="H137" i="1"/>
  <c r="K137" i="1" s="1"/>
  <c r="X136" i="1"/>
  <c r="X137" i="1" s="1"/>
  <c r="O135" i="1"/>
  <c r="N137" i="1"/>
  <c r="W137" i="1" l="1"/>
  <c r="F139" i="1"/>
  <c r="M138" i="1" s="1"/>
  <c r="H138" i="1"/>
  <c r="K138" i="1" s="1"/>
  <c r="X138" i="1"/>
  <c r="O136" i="1"/>
  <c r="N138" i="1"/>
  <c r="W138" i="1" l="1"/>
  <c r="F140" i="1"/>
  <c r="M139" i="1" s="1"/>
  <c r="H139" i="1"/>
  <c r="K139" i="1" s="1"/>
  <c r="O137" i="1"/>
  <c r="N139" i="1"/>
  <c r="W139" i="1" l="1"/>
  <c r="X139" i="1"/>
  <c r="F141" i="1"/>
  <c r="M140" i="1" s="1"/>
  <c r="H140" i="1"/>
  <c r="K140" i="1" s="1"/>
  <c r="O138" i="1"/>
  <c r="N140" i="1"/>
  <c r="X140" i="1" l="1"/>
  <c r="W140" i="1"/>
  <c r="F142" i="1"/>
  <c r="M141" i="1" s="1"/>
  <c r="H141" i="1"/>
  <c r="K141" i="1" s="1"/>
  <c r="X141" i="1"/>
  <c r="O139" i="1"/>
  <c r="N141" i="1"/>
  <c r="W141" i="1" l="1"/>
  <c r="F143" i="1"/>
  <c r="M142" i="1" s="1"/>
  <c r="H142" i="1"/>
  <c r="K142" i="1" s="1"/>
  <c r="O140" i="1"/>
  <c r="N142" i="1"/>
  <c r="X142" i="1" l="1"/>
  <c r="W142" i="1"/>
  <c r="F144" i="1"/>
  <c r="M143" i="1" s="1"/>
  <c r="H143" i="1"/>
  <c r="K143" i="1" s="1"/>
  <c r="X143" i="1"/>
  <c r="O141" i="1"/>
  <c r="N143" i="1"/>
  <c r="W143" i="1" l="1"/>
  <c r="F145" i="1"/>
  <c r="M144" i="1" s="1"/>
  <c r="H144" i="1"/>
  <c r="K144" i="1" s="1"/>
  <c r="X144" i="1" s="1"/>
  <c r="W144" i="1"/>
  <c r="O142" i="1"/>
  <c r="N144" i="1"/>
  <c r="F146" i="1" l="1"/>
  <c r="M145" i="1" s="1"/>
  <c r="H145" i="1"/>
  <c r="K145" i="1" s="1"/>
  <c r="O143" i="1"/>
  <c r="N145" i="1"/>
  <c r="W145" i="1" l="1"/>
  <c r="X145" i="1"/>
  <c r="F147" i="1"/>
  <c r="M146" i="1" s="1"/>
  <c r="H146" i="1"/>
  <c r="K146" i="1" s="1"/>
  <c r="O144" i="1"/>
  <c r="N146" i="1"/>
  <c r="X146" i="1" l="1"/>
  <c r="W146" i="1"/>
  <c r="F148" i="1"/>
  <c r="M147" i="1" s="1"/>
  <c r="H147" i="1"/>
  <c r="K147" i="1" s="1"/>
  <c r="O145" i="1"/>
  <c r="N147" i="1"/>
  <c r="W147" i="1" l="1"/>
  <c r="X147" i="1"/>
  <c r="F149" i="1"/>
  <c r="M148" i="1" s="1"/>
  <c r="H148" i="1"/>
  <c r="K148" i="1" s="1"/>
  <c r="O146" i="1"/>
  <c r="N148" i="1"/>
  <c r="X148" i="1" l="1"/>
  <c r="W148" i="1"/>
  <c r="F150" i="1"/>
  <c r="M149" i="1" s="1"/>
  <c r="H149" i="1"/>
  <c r="K149" i="1" s="1"/>
  <c r="O147" i="1"/>
  <c r="N149" i="1"/>
  <c r="W149" i="1" l="1"/>
  <c r="X149" i="1"/>
  <c r="F151" i="1"/>
  <c r="M150" i="1" s="1"/>
  <c r="H150" i="1"/>
  <c r="K150" i="1" s="1"/>
  <c r="O148" i="1"/>
  <c r="N150" i="1"/>
  <c r="X150" i="1" l="1"/>
  <c r="X151" i="1" s="1"/>
  <c r="W150" i="1"/>
  <c r="F152" i="1"/>
  <c r="M151" i="1" s="1"/>
  <c r="H151" i="1"/>
  <c r="K151" i="1" s="1"/>
  <c r="W151" i="1"/>
  <c r="O149" i="1"/>
  <c r="N151" i="1"/>
  <c r="F153" i="1" l="1"/>
  <c r="M152" i="1" s="1"/>
  <c r="H152" i="1"/>
  <c r="K152" i="1" s="1"/>
  <c r="O150" i="1"/>
  <c r="N152" i="1"/>
  <c r="F154" i="1" l="1"/>
  <c r="M153" i="1" s="1"/>
  <c r="H153" i="1"/>
  <c r="K153" i="1" s="1"/>
  <c r="X152" i="1"/>
  <c r="W152" i="1"/>
  <c r="O151" i="1"/>
  <c r="N153" i="1"/>
  <c r="W153" i="1" l="1"/>
  <c r="X153" i="1"/>
  <c r="F155" i="1"/>
  <c r="M154" i="1" s="1"/>
  <c r="H154" i="1"/>
  <c r="K154" i="1" s="1"/>
  <c r="O152" i="1"/>
  <c r="N154" i="1"/>
  <c r="F156" i="1" l="1"/>
  <c r="M155" i="1" s="1"/>
  <c r="H155" i="1"/>
  <c r="K155" i="1" s="1"/>
  <c r="X154" i="1"/>
  <c r="W154" i="1"/>
  <c r="W155" i="1" s="1"/>
  <c r="X155" i="1"/>
  <c r="O153" i="1"/>
  <c r="N155" i="1"/>
  <c r="F157" i="1" l="1"/>
  <c r="M156" i="1" s="1"/>
  <c r="H156" i="1"/>
  <c r="K156" i="1" s="1"/>
  <c r="O154" i="1"/>
  <c r="N156" i="1"/>
  <c r="X156" i="1" l="1"/>
  <c r="W156" i="1"/>
  <c r="F158" i="1"/>
  <c r="M157" i="1" s="1"/>
  <c r="H157" i="1"/>
  <c r="K157" i="1" s="1"/>
  <c r="O155" i="1"/>
  <c r="N157" i="1"/>
  <c r="W157" i="1" l="1"/>
  <c r="X157" i="1"/>
  <c r="F159" i="1"/>
  <c r="M158" i="1" s="1"/>
  <c r="H158" i="1"/>
  <c r="K158" i="1" s="1"/>
  <c r="W158" i="1"/>
  <c r="O156" i="1"/>
  <c r="N158" i="1"/>
  <c r="F160" i="1" l="1"/>
  <c r="M159" i="1" s="1"/>
  <c r="H159" i="1"/>
  <c r="K159" i="1" s="1"/>
  <c r="X158" i="1"/>
  <c r="O157" i="1"/>
  <c r="N159" i="1"/>
  <c r="X159" i="1" l="1"/>
  <c r="W159" i="1"/>
  <c r="F161" i="1"/>
  <c r="M160" i="1" s="1"/>
  <c r="H160" i="1"/>
  <c r="K160" i="1" s="1"/>
  <c r="X160" i="1"/>
  <c r="O158" i="1"/>
  <c r="N160" i="1"/>
  <c r="W160" i="1" l="1"/>
  <c r="F162" i="1"/>
  <c r="M161" i="1" s="1"/>
  <c r="H161" i="1"/>
  <c r="K161" i="1" s="1"/>
  <c r="X161" i="1"/>
  <c r="W161" i="1"/>
  <c r="O159" i="1"/>
  <c r="N161" i="1"/>
  <c r="F163" i="1" l="1"/>
  <c r="M162" i="1" s="1"/>
  <c r="H162" i="1"/>
  <c r="K162" i="1" s="1"/>
  <c r="O160" i="1"/>
  <c r="N162" i="1"/>
  <c r="X162" i="1" l="1"/>
  <c r="W162" i="1"/>
  <c r="F164" i="1"/>
  <c r="M163" i="1" s="1"/>
  <c r="H163" i="1"/>
  <c r="K163" i="1" s="1"/>
  <c r="O161" i="1"/>
  <c r="N163" i="1"/>
  <c r="W163" i="1" l="1"/>
  <c r="X163" i="1"/>
  <c r="F165" i="1"/>
  <c r="M164" i="1" s="1"/>
  <c r="H164" i="1"/>
  <c r="K164" i="1" s="1"/>
  <c r="O162" i="1"/>
  <c r="N164" i="1"/>
  <c r="X164" i="1" l="1"/>
  <c r="W164" i="1"/>
  <c r="F166" i="1"/>
  <c r="M165" i="1" s="1"/>
  <c r="H165" i="1"/>
  <c r="K165" i="1" s="1"/>
  <c r="X165" i="1"/>
  <c r="O163" i="1"/>
  <c r="N165" i="1"/>
  <c r="W165" i="1" l="1"/>
  <c r="F167" i="1"/>
  <c r="M166" i="1" s="1"/>
  <c r="H166" i="1"/>
  <c r="K166" i="1" s="1"/>
  <c r="O164" i="1"/>
  <c r="N166" i="1"/>
  <c r="X166" i="1" l="1"/>
  <c r="X167" i="1" s="1"/>
  <c r="W166" i="1"/>
  <c r="F168" i="1"/>
  <c r="M167" i="1" s="1"/>
  <c r="H167" i="1"/>
  <c r="K167" i="1" s="1"/>
  <c r="O165" i="1"/>
  <c r="N167" i="1"/>
  <c r="W167" i="1" l="1"/>
  <c r="F169" i="1"/>
  <c r="M168" i="1" s="1"/>
  <c r="H168" i="1"/>
  <c r="K168" i="1" s="1"/>
  <c r="W168" i="1"/>
  <c r="O166" i="1"/>
  <c r="N168" i="1"/>
  <c r="F170" i="1" l="1"/>
  <c r="M169" i="1" s="1"/>
  <c r="H169" i="1"/>
  <c r="K169" i="1" s="1"/>
  <c r="X169" i="1"/>
  <c r="X168" i="1"/>
  <c r="O167" i="1"/>
  <c r="N169" i="1"/>
  <c r="W169" i="1" l="1"/>
  <c r="F171" i="1"/>
  <c r="M170" i="1" s="1"/>
  <c r="H170" i="1"/>
  <c r="K170" i="1" s="1"/>
  <c r="O168" i="1"/>
  <c r="N170" i="1"/>
  <c r="W170" i="1" l="1"/>
  <c r="F172" i="1"/>
  <c r="M171" i="1" s="1"/>
  <c r="H171" i="1"/>
  <c r="K171" i="1" s="1"/>
  <c r="X170" i="1"/>
  <c r="X171" i="1" s="1"/>
  <c r="W171" i="1"/>
  <c r="O169" i="1"/>
  <c r="N171" i="1"/>
  <c r="F173" i="1" l="1"/>
  <c r="M172" i="1" s="1"/>
  <c r="H172" i="1"/>
  <c r="K172" i="1" s="1"/>
  <c r="O170" i="1"/>
  <c r="N172" i="1"/>
  <c r="W172" i="1" l="1"/>
  <c r="X172" i="1"/>
  <c r="F174" i="1"/>
  <c r="M173" i="1" s="1"/>
  <c r="H173" i="1"/>
  <c r="K173" i="1" s="1"/>
  <c r="X173" i="1"/>
  <c r="O171" i="1"/>
  <c r="N173" i="1"/>
  <c r="W173" i="1" l="1"/>
  <c r="F175" i="1"/>
  <c r="M174" i="1" s="1"/>
  <c r="H174" i="1"/>
  <c r="K174" i="1" s="1"/>
  <c r="O172" i="1"/>
  <c r="N174" i="1"/>
  <c r="H175" i="1" l="1"/>
  <c r="K175" i="1" s="1"/>
  <c r="F176" i="1"/>
  <c r="M175" i="1" s="1"/>
  <c r="X174" i="1"/>
  <c r="W174" i="1"/>
  <c r="O173" i="1"/>
  <c r="N175" i="1"/>
  <c r="W175" i="1" l="1"/>
  <c r="X175" i="1"/>
  <c r="F177" i="1"/>
  <c r="M176" i="1" s="1"/>
  <c r="H176" i="1"/>
  <c r="K176" i="1" s="1"/>
  <c r="O174" i="1"/>
  <c r="N176" i="1"/>
  <c r="F178" i="1" l="1"/>
  <c r="M177" i="1" s="1"/>
  <c r="H177" i="1"/>
  <c r="K177" i="1" s="1"/>
  <c r="X176" i="1"/>
  <c r="W176" i="1"/>
  <c r="W177" i="1"/>
  <c r="O175" i="1"/>
  <c r="N177" i="1"/>
  <c r="F179" i="1" l="1"/>
  <c r="M178" i="1" s="1"/>
  <c r="H178" i="1"/>
  <c r="K178" i="1" s="1"/>
  <c r="X177" i="1"/>
  <c r="X178" i="1" s="1"/>
  <c r="O176" i="1"/>
  <c r="N178" i="1"/>
  <c r="W178" i="1" l="1"/>
  <c r="F180" i="1"/>
  <c r="M179" i="1" s="1"/>
  <c r="H179" i="1"/>
  <c r="K179" i="1" s="1"/>
  <c r="O177" i="1"/>
  <c r="N179" i="1"/>
  <c r="W179" i="1" l="1"/>
  <c r="X179" i="1"/>
  <c r="F181" i="1"/>
  <c r="M180" i="1" s="1"/>
  <c r="H180" i="1"/>
  <c r="K180" i="1" s="1"/>
  <c r="X180" i="1"/>
  <c r="O178" i="1"/>
  <c r="N180" i="1"/>
  <c r="W180" i="1" l="1"/>
  <c r="F182" i="1"/>
  <c r="M181" i="1" s="1"/>
  <c r="H181" i="1"/>
  <c r="K181" i="1" s="1"/>
  <c r="O179" i="1"/>
  <c r="N181" i="1"/>
  <c r="X181" i="1" l="1"/>
  <c r="W181" i="1"/>
  <c r="F183" i="1"/>
  <c r="M182" i="1" s="1"/>
  <c r="H182" i="1"/>
  <c r="K182" i="1" s="1"/>
  <c r="W182" i="1" s="1"/>
  <c r="O180" i="1"/>
  <c r="N182" i="1"/>
  <c r="F184" i="1" l="1"/>
  <c r="M183" i="1" s="1"/>
  <c r="H183" i="1"/>
  <c r="K183" i="1" s="1"/>
  <c r="X182" i="1"/>
  <c r="O181" i="1"/>
  <c r="N183" i="1"/>
  <c r="W183" i="1" l="1"/>
  <c r="X183" i="1"/>
  <c r="F185" i="1"/>
  <c r="M184" i="1" s="1"/>
  <c r="H184" i="1"/>
  <c r="K184" i="1" s="1"/>
  <c r="O182" i="1"/>
  <c r="N184" i="1"/>
  <c r="W184" i="1" l="1"/>
  <c r="X184" i="1"/>
  <c r="F186" i="1"/>
  <c r="M185" i="1" s="1"/>
  <c r="H185" i="1"/>
  <c r="K185" i="1" s="1"/>
  <c r="X185" i="1"/>
  <c r="O183" i="1"/>
  <c r="N185" i="1"/>
  <c r="W185" i="1" l="1"/>
  <c r="F187" i="1"/>
  <c r="M186" i="1" s="1"/>
  <c r="H186" i="1"/>
  <c r="K186" i="1" s="1"/>
  <c r="O184" i="1"/>
  <c r="N186" i="1"/>
  <c r="F188" i="1" l="1"/>
  <c r="M187" i="1" s="1"/>
  <c r="H187" i="1"/>
  <c r="K187" i="1" s="1"/>
  <c r="X186" i="1"/>
  <c r="W186" i="1"/>
  <c r="X187" i="1"/>
  <c r="O185" i="1"/>
  <c r="N187" i="1"/>
  <c r="W187" i="1" l="1"/>
  <c r="F189" i="1"/>
  <c r="M188" i="1" s="1"/>
  <c r="H188" i="1"/>
  <c r="K188" i="1" s="1"/>
  <c r="O186" i="1"/>
  <c r="N188" i="1"/>
  <c r="X188" i="1" l="1"/>
  <c r="W188" i="1"/>
  <c r="F190" i="1"/>
  <c r="M189" i="1" s="1"/>
  <c r="H189" i="1"/>
  <c r="K189" i="1" s="1"/>
  <c r="O187" i="1"/>
  <c r="N189" i="1"/>
  <c r="W189" i="1" l="1"/>
  <c r="X189" i="1"/>
  <c r="F191" i="1"/>
  <c r="M190" i="1" s="1"/>
  <c r="H190" i="1"/>
  <c r="K190" i="1" s="1"/>
  <c r="O188" i="1"/>
  <c r="N190" i="1"/>
  <c r="H191" i="1" l="1"/>
  <c r="K191" i="1" s="1"/>
  <c r="F192" i="1"/>
  <c r="M191" i="1" s="1"/>
  <c r="X190" i="1"/>
  <c r="W190" i="1"/>
  <c r="O189" i="1"/>
  <c r="N191" i="1"/>
  <c r="F193" i="1" l="1"/>
  <c r="M192" i="1" s="1"/>
  <c r="H192" i="1"/>
  <c r="K192" i="1" s="1"/>
  <c r="W191" i="1"/>
  <c r="X191" i="1"/>
  <c r="X192" i="1" s="1"/>
  <c r="O190" i="1"/>
  <c r="N192" i="1"/>
  <c r="W192" i="1" l="1"/>
  <c r="F194" i="1"/>
  <c r="M193" i="1" s="1"/>
  <c r="H193" i="1"/>
  <c r="K193" i="1" s="1"/>
  <c r="X193" i="1"/>
  <c r="W193" i="1"/>
  <c r="O191" i="1"/>
  <c r="N193" i="1"/>
  <c r="F195" i="1" l="1"/>
  <c r="M194" i="1" s="1"/>
  <c r="H194" i="1"/>
  <c r="K194" i="1" s="1"/>
  <c r="X194" i="1"/>
  <c r="O192" i="1"/>
  <c r="N194" i="1"/>
  <c r="W194" i="1" l="1"/>
  <c r="F196" i="1"/>
  <c r="M195" i="1" s="1"/>
  <c r="H195" i="1"/>
  <c r="K195" i="1" s="1"/>
  <c r="W195" i="1"/>
  <c r="O193" i="1"/>
  <c r="N195" i="1"/>
  <c r="F197" i="1" l="1"/>
  <c r="M196" i="1" s="1"/>
  <c r="H196" i="1"/>
  <c r="K196" i="1" s="1"/>
  <c r="X196" i="1"/>
  <c r="X195" i="1"/>
  <c r="O194" i="1"/>
  <c r="N196" i="1"/>
  <c r="W196" i="1" l="1"/>
  <c r="F198" i="1"/>
  <c r="M197" i="1" s="1"/>
  <c r="H197" i="1"/>
  <c r="K197" i="1" s="1"/>
  <c r="W197" i="1"/>
  <c r="O195" i="1"/>
  <c r="N197" i="1"/>
  <c r="F199" i="1" l="1"/>
  <c r="M198" i="1" s="1"/>
  <c r="H198" i="1"/>
  <c r="K198" i="1" s="1"/>
  <c r="X198" i="1"/>
  <c r="X197" i="1"/>
  <c r="O196" i="1"/>
  <c r="N198" i="1"/>
  <c r="W198" i="1" l="1"/>
  <c r="F200" i="1"/>
  <c r="M199" i="1" s="1"/>
  <c r="H199" i="1"/>
  <c r="K199" i="1" s="1"/>
  <c r="W199" i="1" s="1"/>
  <c r="O197" i="1"/>
  <c r="N199" i="1"/>
  <c r="X199" i="1" l="1"/>
  <c r="F201" i="1"/>
  <c r="M200" i="1" s="1"/>
  <c r="H200" i="1"/>
  <c r="K200" i="1" s="1"/>
  <c r="X200" i="1"/>
  <c r="O198" i="1"/>
  <c r="N200" i="1"/>
  <c r="W200" i="1" l="1"/>
  <c r="W201" i="1" s="1"/>
  <c r="F202" i="1"/>
  <c r="M201" i="1" s="1"/>
  <c r="H201" i="1"/>
  <c r="K201" i="1" s="1"/>
  <c r="X201" i="1"/>
  <c r="O199" i="1"/>
  <c r="N201" i="1"/>
  <c r="F203" i="1" l="1"/>
  <c r="M202" i="1" s="1"/>
  <c r="H202" i="1"/>
  <c r="K202" i="1" s="1"/>
  <c r="O200" i="1"/>
  <c r="N202" i="1"/>
  <c r="F204" i="1" l="1"/>
  <c r="M203" i="1" s="1"/>
  <c r="H203" i="1"/>
  <c r="K203" i="1" s="1"/>
  <c r="X203" i="1"/>
  <c r="X202" i="1"/>
  <c r="W202" i="1"/>
  <c r="W203" i="1" s="1"/>
  <c r="O201" i="1"/>
  <c r="N203" i="1"/>
  <c r="F205" i="1" l="1"/>
  <c r="M204" i="1" s="1"/>
  <c r="H204" i="1"/>
  <c r="K204" i="1" s="1"/>
  <c r="W204" i="1"/>
  <c r="O202" i="1"/>
  <c r="N204" i="1"/>
  <c r="F206" i="1" l="1"/>
  <c r="M205" i="1" s="1"/>
  <c r="H205" i="1"/>
  <c r="K205" i="1" s="1"/>
  <c r="W205" i="1" s="1"/>
  <c r="X205" i="1"/>
  <c r="X204" i="1"/>
  <c r="O203" i="1"/>
  <c r="N205" i="1"/>
  <c r="H206" i="1" l="1"/>
  <c r="K206" i="1" s="1"/>
  <c r="F207" i="1"/>
  <c r="M206" i="1" s="1"/>
  <c r="X206" i="1"/>
  <c r="O204" i="1"/>
  <c r="N206" i="1"/>
  <c r="W206" i="1" l="1"/>
  <c r="F208" i="1"/>
  <c r="M207" i="1" s="1"/>
  <c r="H207" i="1"/>
  <c r="K207" i="1" s="1"/>
  <c r="W207" i="1" s="1"/>
  <c r="X207" i="1"/>
  <c r="O205" i="1"/>
  <c r="N207" i="1"/>
  <c r="F209" i="1" l="1"/>
  <c r="M208" i="1" s="1"/>
  <c r="H208" i="1"/>
  <c r="K208" i="1" s="1"/>
  <c r="X208" i="1"/>
  <c r="W208" i="1"/>
  <c r="O206" i="1"/>
  <c r="N208" i="1"/>
  <c r="F210" i="1" l="1"/>
  <c r="M209" i="1" s="1"/>
  <c r="H209" i="1"/>
  <c r="K209" i="1" s="1"/>
  <c r="W209" i="1" s="1"/>
  <c r="X209" i="1"/>
  <c r="O207" i="1"/>
  <c r="N209" i="1"/>
  <c r="F211" i="1" l="1"/>
  <c r="M210" i="1" s="1"/>
  <c r="H210" i="1"/>
  <c r="K210" i="1" s="1"/>
  <c r="X210" i="1"/>
  <c r="O208" i="1"/>
  <c r="N210" i="1"/>
  <c r="W210" i="1" l="1"/>
  <c r="F212" i="1"/>
  <c r="M211" i="1" s="1"/>
  <c r="H211" i="1"/>
  <c r="K211" i="1" s="1"/>
  <c r="W211" i="1" s="1"/>
  <c r="X211" i="1"/>
  <c r="O209" i="1"/>
  <c r="N211" i="1"/>
  <c r="F213" i="1" l="1"/>
  <c r="M212" i="1" s="1"/>
  <c r="H212" i="1"/>
  <c r="K212" i="1" s="1"/>
  <c r="X212" i="1"/>
  <c r="O210" i="1"/>
  <c r="N212" i="1"/>
  <c r="W212" i="1" l="1"/>
  <c r="F214" i="1"/>
  <c r="M213" i="1" s="1"/>
  <c r="H213" i="1"/>
  <c r="K213" i="1" s="1"/>
  <c r="W213" i="1" s="1"/>
  <c r="X213" i="1"/>
  <c r="O211" i="1"/>
  <c r="N213" i="1"/>
  <c r="F215" i="1" l="1"/>
  <c r="M214" i="1" s="1"/>
  <c r="H214" i="1"/>
  <c r="K214" i="1" s="1"/>
  <c r="X214" i="1"/>
  <c r="O212" i="1"/>
  <c r="N214" i="1"/>
  <c r="W214" i="1" l="1"/>
  <c r="F216" i="1"/>
  <c r="M215" i="1" s="1"/>
  <c r="H215" i="1"/>
  <c r="K215" i="1" s="1"/>
  <c r="X215" i="1"/>
  <c r="W215" i="1"/>
  <c r="O213" i="1"/>
  <c r="N215" i="1"/>
  <c r="F217" i="1" l="1"/>
  <c r="M216" i="1" s="1"/>
  <c r="H216" i="1"/>
  <c r="K216" i="1" s="1"/>
  <c r="W216" i="1"/>
  <c r="O214" i="1"/>
  <c r="N216" i="1"/>
  <c r="F218" i="1" l="1"/>
  <c r="M217" i="1" s="1"/>
  <c r="H217" i="1"/>
  <c r="K217" i="1" s="1"/>
  <c r="X217" i="1"/>
  <c r="X216" i="1"/>
  <c r="W217" i="1"/>
  <c r="O215" i="1"/>
  <c r="N217" i="1"/>
  <c r="F219" i="1" l="1"/>
  <c r="M218" i="1" s="1"/>
  <c r="H218" i="1"/>
  <c r="K218" i="1" s="1"/>
  <c r="X218" i="1"/>
  <c r="O216" i="1"/>
  <c r="N218" i="1"/>
  <c r="W218" i="1" l="1"/>
  <c r="F220" i="1"/>
  <c r="M219" i="1" s="1"/>
  <c r="H219" i="1"/>
  <c r="K219" i="1" s="1"/>
  <c r="X219" i="1" s="1"/>
  <c r="W219" i="1"/>
  <c r="O217" i="1"/>
  <c r="N219" i="1"/>
  <c r="F221" i="1" l="1"/>
  <c r="M220" i="1" s="1"/>
  <c r="H220" i="1"/>
  <c r="K220" i="1" s="1"/>
  <c r="O218" i="1"/>
  <c r="N220" i="1"/>
  <c r="H221" i="1" l="1"/>
  <c r="K221" i="1" s="1"/>
  <c r="F222" i="1"/>
  <c r="M221" i="1" s="1"/>
  <c r="X220" i="1"/>
  <c r="X221" i="1" s="1"/>
  <c r="W220" i="1"/>
  <c r="W221" i="1" s="1"/>
  <c r="O219" i="1"/>
  <c r="N221" i="1"/>
  <c r="W222" i="1" l="1"/>
  <c r="F223" i="1"/>
  <c r="M222" i="1" s="1"/>
  <c r="H222" i="1"/>
  <c r="K222" i="1" s="1"/>
  <c r="X222" i="1"/>
  <c r="O220" i="1"/>
  <c r="N222" i="1"/>
  <c r="F224" i="1" l="1"/>
  <c r="M223" i="1" s="1"/>
  <c r="H223" i="1"/>
  <c r="K223" i="1" s="1"/>
  <c r="X223" i="1"/>
  <c r="W223" i="1"/>
  <c r="O221" i="1"/>
  <c r="N223" i="1"/>
  <c r="F225" i="1" l="1"/>
  <c r="M224" i="1" s="1"/>
  <c r="H224" i="1"/>
  <c r="K224" i="1" s="1"/>
  <c r="X224" i="1"/>
  <c r="W224" i="1"/>
  <c r="O222" i="1"/>
  <c r="N224" i="1"/>
  <c r="F226" i="1" l="1"/>
  <c r="M225" i="1" s="1"/>
  <c r="H225" i="1"/>
  <c r="K225" i="1" s="1"/>
  <c r="W225" i="1" s="1"/>
  <c r="X225" i="1"/>
  <c r="O223" i="1"/>
  <c r="N225" i="1"/>
  <c r="F227" i="1" l="1"/>
  <c r="M226" i="1" s="1"/>
  <c r="H226" i="1"/>
  <c r="K226" i="1" s="1"/>
  <c r="X226" i="1"/>
  <c r="W226" i="1"/>
  <c r="O224" i="1"/>
  <c r="N226" i="1"/>
  <c r="F228" i="1" l="1"/>
  <c r="M227" i="1" s="1"/>
  <c r="H227" i="1"/>
  <c r="K227" i="1" s="1"/>
  <c r="W227" i="1"/>
  <c r="O225" i="1"/>
  <c r="N227" i="1"/>
  <c r="F229" i="1" l="1"/>
  <c r="M228" i="1" s="1"/>
  <c r="H228" i="1"/>
  <c r="K228" i="1" s="1"/>
  <c r="X227" i="1"/>
  <c r="W228" i="1"/>
  <c r="X228" i="1"/>
  <c r="O226" i="1"/>
  <c r="N228" i="1"/>
  <c r="F230" i="1" l="1"/>
  <c r="M229" i="1" s="1"/>
  <c r="H229" i="1"/>
  <c r="K229" i="1" s="1"/>
  <c r="W229" i="1" s="1"/>
  <c r="X229" i="1"/>
  <c r="O227" i="1"/>
  <c r="N229" i="1"/>
  <c r="F231" i="1" l="1"/>
  <c r="M230" i="1" s="1"/>
  <c r="H230" i="1"/>
  <c r="K230" i="1" s="1"/>
  <c r="O228" i="1"/>
  <c r="N230" i="1"/>
  <c r="H231" i="1" l="1"/>
  <c r="K231" i="1" s="1"/>
  <c r="F232" i="1"/>
  <c r="M231" i="1" s="1"/>
  <c r="X230" i="1"/>
  <c r="X231" i="1" s="1"/>
  <c r="W230" i="1"/>
  <c r="W231" i="1" s="1"/>
  <c r="O229" i="1"/>
  <c r="N231" i="1"/>
  <c r="F233" i="1" l="1"/>
  <c r="M232" i="1" s="1"/>
  <c r="H232" i="1"/>
  <c r="K232" i="1" s="1"/>
  <c r="W232" i="1"/>
  <c r="O230" i="1"/>
  <c r="N232" i="1"/>
  <c r="F234" i="1" l="1"/>
  <c r="M233" i="1" s="1"/>
  <c r="H233" i="1"/>
  <c r="K233" i="1" s="1"/>
  <c r="W233" i="1" s="1"/>
  <c r="X233" i="1"/>
  <c r="X232" i="1"/>
  <c r="O231" i="1"/>
  <c r="N233" i="1"/>
  <c r="H234" i="1" l="1"/>
  <c r="K234" i="1" s="1"/>
  <c r="F235" i="1"/>
  <c r="M234" i="1" s="1"/>
  <c r="W234" i="1"/>
  <c r="O232" i="1"/>
  <c r="N234" i="1"/>
  <c r="F236" i="1" l="1"/>
  <c r="M235" i="1" s="1"/>
  <c r="H235" i="1"/>
  <c r="K235" i="1" s="1"/>
  <c r="W235" i="1" s="1"/>
  <c r="X235" i="1"/>
  <c r="X234" i="1"/>
  <c r="O233" i="1"/>
  <c r="N235" i="1"/>
  <c r="F237" i="1" l="1"/>
  <c r="M236" i="1" s="1"/>
  <c r="H236" i="1"/>
  <c r="K236" i="1" s="1"/>
  <c r="W236" i="1"/>
  <c r="O234" i="1"/>
  <c r="N236" i="1"/>
  <c r="F238" i="1" l="1"/>
  <c r="M237" i="1" s="1"/>
  <c r="H237" i="1"/>
  <c r="K237" i="1" s="1"/>
  <c r="W237" i="1" s="1"/>
  <c r="X237" i="1"/>
  <c r="X236" i="1"/>
  <c r="O235" i="1"/>
  <c r="N237" i="1"/>
  <c r="F239" i="1" l="1"/>
  <c r="M238" i="1" s="1"/>
  <c r="H238" i="1"/>
  <c r="K238" i="1" s="1"/>
  <c r="W238" i="1"/>
  <c r="O236" i="1"/>
  <c r="N238" i="1"/>
  <c r="F240" i="1" l="1"/>
  <c r="M239" i="1" s="1"/>
  <c r="H239" i="1"/>
  <c r="K239" i="1" s="1"/>
  <c r="W239" i="1" s="1"/>
  <c r="X238" i="1"/>
  <c r="X239" i="1" s="1"/>
  <c r="O237" i="1"/>
  <c r="N239" i="1"/>
  <c r="F241" i="1" l="1"/>
  <c r="M240" i="1" s="1"/>
  <c r="H240" i="1"/>
  <c r="K240" i="1" s="1"/>
  <c r="X240" i="1"/>
  <c r="O238" i="1"/>
  <c r="N240" i="1"/>
  <c r="W240" i="1" l="1"/>
  <c r="F242" i="1"/>
  <c r="M241" i="1" s="1"/>
  <c r="H241" i="1"/>
  <c r="K241" i="1" s="1"/>
  <c r="W241" i="1" s="1"/>
  <c r="X241" i="1"/>
  <c r="O239" i="1"/>
  <c r="N241" i="1"/>
  <c r="F243" i="1" l="1"/>
  <c r="M242" i="1" s="1"/>
  <c r="H242" i="1"/>
  <c r="K242" i="1" s="1"/>
  <c r="W242" i="1" s="1"/>
  <c r="O240" i="1"/>
  <c r="N242" i="1"/>
  <c r="F244" i="1" l="1"/>
  <c r="M243" i="1" s="1"/>
  <c r="H243" i="1"/>
  <c r="K243" i="1" s="1"/>
  <c r="W243" i="1" s="1"/>
  <c r="X243" i="1"/>
  <c r="X242" i="1"/>
  <c r="O241" i="1"/>
  <c r="N243" i="1"/>
  <c r="F245" i="1" l="1"/>
  <c r="M244" i="1" s="1"/>
  <c r="H244" i="1"/>
  <c r="K244" i="1" s="1"/>
  <c r="X244" i="1"/>
  <c r="O242" i="1"/>
  <c r="N244" i="1"/>
  <c r="W244" i="1" l="1"/>
  <c r="F246" i="1"/>
  <c r="M245" i="1" s="1"/>
  <c r="H245" i="1"/>
  <c r="K245" i="1" s="1"/>
  <c r="X245" i="1"/>
  <c r="W245" i="1"/>
  <c r="O243" i="1"/>
  <c r="N245" i="1"/>
  <c r="F247" i="1" l="1"/>
  <c r="M246" i="1" s="1"/>
  <c r="H246" i="1"/>
  <c r="K246" i="1" s="1"/>
  <c r="X246" i="1"/>
  <c r="W246" i="1"/>
  <c r="O244" i="1"/>
  <c r="N246" i="1"/>
  <c r="H247" i="1" l="1"/>
  <c r="K247" i="1" s="1"/>
  <c r="W247" i="1" s="1"/>
  <c r="F248" i="1"/>
  <c r="M247" i="1" s="1"/>
  <c r="X247" i="1"/>
  <c r="O245" i="1"/>
  <c r="N247" i="1"/>
  <c r="F249" i="1" l="1"/>
  <c r="M248" i="1" s="1"/>
  <c r="H248" i="1"/>
  <c r="K248" i="1" s="1"/>
  <c r="X248" i="1"/>
  <c r="O246" i="1"/>
  <c r="N248" i="1"/>
  <c r="W248" i="1" l="1"/>
  <c r="F250" i="1"/>
  <c r="M249" i="1" s="1"/>
  <c r="H249" i="1"/>
  <c r="K249" i="1" s="1"/>
  <c r="X249" i="1"/>
  <c r="O247" i="1"/>
  <c r="N249" i="1"/>
  <c r="W249" i="1" l="1"/>
  <c r="F251" i="1"/>
  <c r="M250" i="1" s="1"/>
  <c r="H250" i="1"/>
  <c r="K250" i="1" s="1"/>
  <c r="W250" i="1"/>
  <c r="O248" i="1"/>
  <c r="N250" i="1"/>
  <c r="F252" i="1" l="1"/>
  <c r="M251" i="1" s="1"/>
  <c r="H251" i="1"/>
  <c r="K251" i="1" s="1"/>
  <c r="W251" i="1" s="1"/>
  <c r="X251" i="1"/>
  <c r="X250" i="1"/>
  <c r="O249" i="1"/>
  <c r="N251" i="1"/>
  <c r="F253" i="1" l="1"/>
  <c r="M252" i="1" s="1"/>
  <c r="H252" i="1"/>
  <c r="K252" i="1" s="1"/>
  <c r="X252" i="1"/>
  <c r="O250" i="1"/>
  <c r="N252" i="1"/>
  <c r="W252" i="1" l="1"/>
  <c r="F254" i="1"/>
  <c r="M253" i="1" s="1"/>
  <c r="H253" i="1"/>
  <c r="K253" i="1" s="1"/>
  <c r="W253" i="1" s="1"/>
  <c r="O251" i="1"/>
  <c r="N253" i="1"/>
  <c r="X253" i="1" l="1"/>
  <c r="F255" i="1"/>
  <c r="M254" i="1" s="1"/>
  <c r="H254" i="1"/>
  <c r="K254" i="1" s="1"/>
  <c r="X254" i="1"/>
  <c r="W254" i="1"/>
  <c r="O252" i="1"/>
  <c r="N254" i="1"/>
  <c r="F256" i="1" l="1"/>
  <c r="M255" i="1" s="1"/>
  <c r="H255" i="1"/>
  <c r="K255" i="1" s="1"/>
  <c r="W255" i="1"/>
  <c r="O253" i="1"/>
  <c r="N255" i="1"/>
  <c r="F257" i="1" l="1"/>
  <c r="M256" i="1" s="1"/>
  <c r="H256" i="1"/>
  <c r="K256" i="1" s="1"/>
  <c r="X255" i="1"/>
  <c r="W256" i="1"/>
  <c r="X256" i="1"/>
  <c r="O254" i="1"/>
  <c r="N256" i="1"/>
  <c r="F258" i="1" l="1"/>
  <c r="M257" i="1" s="1"/>
  <c r="H257" i="1"/>
  <c r="K257" i="1" s="1"/>
  <c r="W257" i="1"/>
  <c r="O255" i="1"/>
  <c r="N257" i="1"/>
  <c r="F259" i="1" l="1"/>
  <c r="M258" i="1" s="1"/>
  <c r="H258" i="1"/>
  <c r="K258" i="1" s="1"/>
  <c r="X258" i="1"/>
  <c r="X257" i="1"/>
  <c r="O256" i="1"/>
  <c r="N258" i="1"/>
  <c r="W258" i="1" l="1"/>
  <c r="F260" i="1"/>
  <c r="M259" i="1" s="1"/>
  <c r="H259" i="1"/>
  <c r="K259" i="1" s="1"/>
  <c r="W259" i="1" s="1"/>
  <c r="X259" i="1"/>
  <c r="O257" i="1"/>
  <c r="N259" i="1"/>
  <c r="F261" i="1" l="1"/>
  <c r="M260" i="1" s="1"/>
  <c r="H260" i="1"/>
  <c r="K260" i="1" s="1"/>
  <c r="X260" i="1"/>
  <c r="O258" i="1"/>
  <c r="N260" i="1"/>
  <c r="W260" i="1" l="1"/>
  <c r="F262" i="1"/>
  <c r="M261" i="1" s="1"/>
  <c r="H261" i="1"/>
  <c r="K261" i="1" s="1"/>
  <c r="W261" i="1" s="1"/>
  <c r="X261" i="1"/>
  <c r="O259" i="1"/>
  <c r="N261" i="1"/>
  <c r="F263" i="1" l="1"/>
  <c r="M262" i="1" s="1"/>
  <c r="H262" i="1"/>
  <c r="K262" i="1" s="1"/>
  <c r="W262" i="1"/>
  <c r="O260" i="1"/>
  <c r="N262" i="1"/>
  <c r="F264" i="1" l="1"/>
  <c r="M263" i="1" s="1"/>
  <c r="H263" i="1"/>
  <c r="K263" i="1" s="1"/>
  <c r="W263" i="1" s="1"/>
  <c r="X262" i="1"/>
  <c r="X263" i="1" s="1"/>
  <c r="O261" i="1"/>
  <c r="N263" i="1"/>
  <c r="F265" i="1" l="1"/>
  <c r="M264" i="1" s="1"/>
  <c r="H264" i="1"/>
  <c r="K264" i="1" s="1"/>
  <c r="W264" i="1"/>
  <c r="X264" i="1"/>
  <c r="O262" i="1"/>
  <c r="N264" i="1"/>
  <c r="F266" i="1" l="1"/>
  <c r="M265" i="1" s="1"/>
  <c r="H265" i="1"/>
  <c r="K265" i="1" s="1"/>
  <c r="W265" i="1" s="1"/>
  <c r="X265" i="1"/>
  <c r="O263" i="1"/>
  <c r="N265" i="1"/>
  <c r="F267" i="1" l="1"/>
  <c r="M266" i="1" s="1"/>
  <c r="H266" i="1"/>
  <c r="K266" i="1" s="1"/>
  <c r="W266" i="1"/>
  <c r="O264" i="1"/>
  <c r="N266" i="1"/>
  <c r="F268" i="1" l="1"/>
  <c r="M267" i="1" s="1"/>
  <c r="H267" i="1"/>
  <c r="K267" i="1" s="1"/>
  <c r="W267" i="1" s="1"/>
  <c r="X266" i="1"/>
  <c r="X267" i="1" s="1"/>
  <c r="O265" i="1"/>
  <c r="N267" i="1"/>
  <c r="F269" i="1" l="1"/>
  <c r="M268" i="1" s="1"/>
  <c r="H268" i="1"/>
  <c r="K268" i="1" s="1"/>
  <c r="X268" i="1"/>
  <c r="O266" i="1"/>
  <c r="N268" i="1"/>
  <c r="W268" i="1" l="1"/>
  <c r="H269" i="1"/>
  <c r="K269" i="1" s="1"/>
  <c r="F270" i="1"/>
  <c r="M269" i="1" s="1"/>
  <c r="X269" i="1"/>
  <c r="W269" i="1"/>
  <c r="O267" i="1"/>
  <c r="N269" i="1"/>
  <c r="F271" i="1" l="1"/>
  <c r="M270" i="1" s="1"/>
  <c r="H270" i="1"/>
  <c r="K270" i="1" s="1"/>
  <c r="X270" i="1"/>
  <c r="W270" i="1"/>
  <c r="O268" i="1"/>
  <c r="N270" i="1"/>
  <c r="F272" i="1" l="1"/>
  <c r="M271" i="1" s="1"/>
  <c r="H271" i="1"/>
  <c r="K271" i="1" s="1"/>
  <c r="W271" i="1" s="1"/>
  <c r="X271" i="1"/>
  <c r="O269" i="1"/>
  <c r="N271" i="1"/>
  <c r="F273" i="1" l="1"/>
  <c r="M272" i="1" s="1"/>
  <c r="H272" i="1"/>
  <c r="K272" i="1" s="1"/>
  <c r="X272" i="1"/>
  <c r="W272" i="1"/>
  <c r="O270" i="1"/>
  <c r="N272" i="1"/>
  <c r="F274" i="1" l="1"/>
  <c r="M273" i="1" s="1"/>
  <c r="H273" i="1"/>
  <c r="K273" i="1" s="1"/>
  <c r="X273" i="1"/>
  <c r="W273" i="1"/>
  <c r="O271" i="1"/>
  <c r="N273" i="1"/>
  <c r="F275" i="1" l="1"/>
  <c r="M274" i="1" s="1"/>
  <c r="H274" i="1"/>
  <c r="K274" i="1" s="1"/>
  <c r="O272" i="1"/>
  <c r="N274" i="1"/>
  <c r="H275" i="1" l="1"/>
  <c r="K275" i="1" s="1"/>
  <c r="F276" i="1"/>
  <c r="M275" i="1" s="1"/>
  <c r="X274" i="1"/>
  <c r="X275" i="1" s="1"/>
  <c r="W274" i="1"/>
  <c r="O273" i="1"/>
  <c r="N275" i="1"/>
  <c r="W275" i="1" l="1"/>
  <c r="F277" i="1"/>
  <c r="M276" i="1" s="1"/>
  <c r="H276" i="1"/>
  <c r="K276" i="1" s="1"/>
  <c r="W276" i="1"/>
  <c r="O274" i="1"/>
  <c r="N276" i="1"/>
  <c r="F278" i="1" l="1"/>
  <c r="M277" i="1" s="1"/>
  <c r="H277" i="1"/>
  <c r="K277" i="1" s="1"/>
  <c r="X276" i="1"/>
  <c r="W277" i="1"/>
  <c r="X277" i="1"/>
  <c r="O275" i="1"/>
  <c r="N277" i="1"/>
  <c r="F279" i="1" l="1"/>
  <c r="M278" i="1" s="1"/>
  <c r="H278" i="1"/>
  <c r="K278" i="1" s="1"/>
  <c r="X278" i="1"/>
  <c r="O276" i="1"/>
  <c r="N278" i="1"/>
  <c r="W278" i="1" l="1"/>
  <c r="F280" i="1"/>
  <c r="M279" i="1" s="1"/>
  <c r="H279" i="1"/>
  <c r="K279" i="1" s="1"/>
  <c r="X279" i="1" s="1"/>
  <c r="W279" i="1"/>
  <c r="O277" i="1"/>
  <c r="N279" i="1"/>
  <c r="F281" i="1" l="1"/>
  <c r="M280" i="1" s="1"/>
  <c r="H280" i="1"/>
  <c r="K280" i="1" s="1"/>
  <c r="X280" i="1"/>
  <c r="W280" i="1"/>
  <c r="O278" i="1"/>
  <c r="N280" i="1"/>
  <c r="F282" i="1" l="1"/>
  <c r="M281" i="1" s="1"/>
  <c r="H281" i="1"/>
  <c r="K281" i="1" s="1"/>
  <c r="W281" i="1" s="1"/>
  <c r="X281" i="1"/>
  <c r="O279" i="1"/>
  <c r="N281" i="1"/>
  <c r="F283" i="1" l="1"/>
  <c r="M282" i="1" s="1"/>
  <c r="H282" i="1"/>
  <c r="K282" i="1" s="1"/>
  <c r="X282" i="1"/>
  <c r="W282" i="1"/>
  <c r="O280" i="1"/>
  <c r="N282" i="1"/>
  <c r="F284" i="1" l="1"/>
  <c r="M283" i="1" s="1"/>
  <c r="H283" i="1"/>
  <c r="K283" i="1" s="1"/>
  <c r="W283" i="1" s="1"/>
  <c r="O281" i="1"/>
  <c r="N283" i="1"/>
  <c r="X283" i="1" l="1"/>
  <c r="F285" i="1"/>
  <c r="M284" i="1" s="1"/>
  <c r="H284" i="1"/>
  <c r="K284" i="1" s="1"/>
  <c r="W284" i="1"/>
  <c r="O282" i="1"/>
  <c r="N284" i="1"/>
  <c r="F286" i="1" l="1"/>
  <c r="M285" i="1" s="1"/>
  <c r="H285" i="1"/>
  <c r="K285" i="1" s="1"/>
  <c r="W285" i="1" s="1"/>
  <c r="X285" i="1"/>
  <c r="X284" i="1"/>
  <c r="O283" i="1"/>
  <c r="N285" i="1"/>
  <c r="F287" i="1" l="1"/>
  <c r="M286" i="1" s="1"/>
  <c r="H286" i="1"/>
  <c r="K286" i="1" s="1"/>
  <c r="W286" i="1"/>
  <c r="O284" i="1"/>
  <c r="N286" i="1"/>
  <c r="F288" i="1" l="1"/>
  <c r="M287" i="1" s="1"/>
  <c r="H287" i="1"/>
  <c r="K287" i="1" s="1"/>
  <c r="W287" i="1" s="1"/>
  <c r="X287" i="1"/>
  <c r="X286" i="1"/>
  <c r="O285" i="1"/>
  <c r="N287" i="1"/>
  <c r="F289" i="1" l="1"/>
  <c r="M288" i="1" s="1"/>
  <c r="H288" i="1"/>
  <c r="K288" i="1" s="1"/>
  <c r="X288" i="1"/>
  <c r="O286" i="1"/>
  <c r="N288" i="1"/>
  <c r="W288" i="1" l="1"/>
  <c r="F290" i="1"/>
  <c r="M289" i="1" s="1"/>
  <c r="H289" i="1"/>
  <c r="K289" i="1" s="1"/>
  <c r="X289" i="1"/>
  <c r="W289" i="1"/>
  <c r="O287" i="1"/>
  <c r="N289" i="1"/>
  <c r="F291" i="1" l="1"/>
  <c r="M290" i="1" s="1"/>
  <c r="H290" i="1"/>
  <c r="K290" i="1" s="1"/>
  <c r="X290" i="1"/>
  <c r="W290" i="1"/>
  <c r="O288" i="1"/>
  <c r="N290" i="1"/>
  <c r="F292" i="1" l="1"/>
  <c r="M291" i="1" s="1"/>
  <c r="H291" i="1"/>
  <c r="K291" i="1" s="1"/>
  <c r="W291" i="1" s="1"/>
  <c r="X291" i="1"/>
  <c r="O289" i="1"/>
  <c r="N291" i="1"/>
  <c r="F293" i="1" l="1"/>
  <c r="M292" i="1" s="1"/>
  <c r="H292" i="1"/>
  <c r="K292" i="1" s="1"/>
  <c r="X292" i="1"/>
  <c r="O290" i="1"/>
  <c r="N292" i="1"/>
  <c r="W292" i="1" l="1"/>
  <c r="F294" i="1"/>
  <c r="M293" i="1" s="1"/>
  <c r="H293" i="1"/>
  <c r="K293" i="1" s="1"/>
  <c r="W293" i="1"/>
  <c r="O291" i="1"/>
  <c r="N293" i="1"/>
  <c r="F295" i="1" l="1"/>
  <c r="M294" i="1" s="1"/>
  <c r="H294" i="1"/>
  <c r="K294" i="1" s="1"/>
  <c r="X293" i="1"/>
  <c r="W294" i="1"/>
  <c r="X294" i="1"/>
  <c r="O292" i="1"/>
  <c r="N294" i="1"/>
  <c r="H295" i="1" l="1"/>
  <c r="K295" i="1" s="1"/>
  <c r="W295" i="1" s="1"/>
  <c r="F296" i="1"/>
  <c r="M295" i="1" s="1"/>
  <c r="X295" i="1"/>
  <c r="O293" i="1"/>
  <c r="N295" i="1"/>
  <c r="F297" i="1" l="1"/>
  <c r="M296" i="1" s="1"/>
  <c r="H296" i="1"/>
  <c r="K296" i="1" s="1"/>
  <c r="X296" i="1"/>
  <c r="O294" i="1"/>
  <c r="N296" i="1"/>
  <c r="W296" i="1" l="1"/>
  <c r="H297" i="1"/>
  <c r="K297" i="1" s="1"/>
  <c r="F298" i="1"/>
  <c r="M297" i="1" s="1"/>
  <c r="X297" i="1"/>
  <c r="W297" i="1"/>
  <c r="O295" i="1"/>
  <c r="N297" i="1"/>
  <c r="F299" i="1" l="1"/>
  <c r="M298" i="1" s="1"/>
  <c r="H298" i="1"/>
  <c r="K298" i="1" s="1"/>
  <c r="W298" i="1"/>
  <c r="O296" i="1"/>
  <c r="N298" i="1"/>
  <c r="F300" i="1" l="1"/>
  <c r="M299" i="1" s="1"/>
  <c r="H299" i="1"/>
  <c r="K299" i="1" s="1"/>
  <c r="W299" i="1" s="1"/>
  <c r="X299" i="1"/>
  <c r="X298" i="1"/>
  <c r="O297" i="1"/>
  <c r="N299" i="1"/>
  <c r="F301" i="1" l="1"/>
  <c r="M300" i="1" s="1"/>
  <c r="H300" i="1"/>
  <c r="K300" i="1" s="1"/>
  <c r="X300" i="1"/>
  <c r="O298" i="1"/>
  <c r="N300" i="1"/>
  <c r="W300" i="1" l="1"/>
  <c r="F302" i="1"/>
  <c r="M301" i="1" s="1"/>
  <c r="H301" i="1"/>
  <c r="K301" i="1" s="1"/>
  <c r="X301" i="1"/>
  <c r="W301" i="1"/>
  <c r="O299" i="1"/>
  <c r="N301" i="1"/>
  <c r="F303" i="1" l="1"/>
  <c r="M302" i="1" s="1"/>
  <c r="H302" i="1"/>
  <c r="K302" i="1" s="1"/>
  <c r="W302" i="1"/>
  <c r="O300" i="1"/>
  <c r="N302" i="1"/>
  <c r="F304" i="1" l="1"/>
  <c r="M303" i="1" s="1"/>
  <c r="H303" i="1"/>
  <c r="K303" i="1" s="1"/>
  <c r="W303" i="1" s="1"/>
  <c r="X303" i="1"/>
  <c r="X302" i="1"/>
  <c r="O301" i="1"/>
  <c r="N303" i="1"/>
  <c r="F305" i="1" l="1"/>
  <c r="M304" i="1" s="1"/>
  <c r="H304" i="1"/>
  <c r="K304" i="1" s="1"/>
  <c r="X304" i="1"/>
  <c r="O302" i="1"/>
  <c r="N304" i="1"/>
  <c r="W304" i="1" l="1"/>
  <c r="F306" i="1"/>
  <c r="M305" i="1" s="1"/>
  <c r="H305" i="1"/>
  <c r="K305" i="1" s="1"/>
  <c r="W305" i="1" s="1"/>
  <c r="O303" i="1"/>
  <c r="N305" i="1"/>
  <c r="X305" i="1" l="1"/>
  <c r="F307" i="1"/>
  <c r="M306" i="1" s="1"/>
  <c r="H306" i="1"/>
  <c r="K306" i="1" s="1"/>
  <c r="W306" i="1"/>
  <c r="O304" i="1"/>
  <c r="N306" i="1"/>
  <c r="F308" i="1" l="1"/>
  <c r="M307" i="1" s="1"/>
  <c r="H307" i="1"/>
  <c r="K307" i="1" s="1"/>
  <c r="W307" i="1" s="1"/>
  <c r="X307" i="1"/>
  <c r="X306" i="1"/>
  <c r="O305" i="1"/>
  <c r="N307" i="1"/>
  <c r="F309" i="1" l="1"/>
  <c r="M308" i="1" s="1"/>
  <c r="H308" i="1"/>
  <c r="K308" i="1" s="1"/>
  <c r="W308" i="1"/>
  <c r="O306" i="1"/>
  <c r="N308" i="1"/>
  <c r="F310" i="1" l="1"/>
  <c r="M309" i="1" s="1"/>
  <c r="H309" i="1"/>
  <c r="K309" i="1" s="1"/>
  <c r="X309" i="1" s="1"/>
  <c r="X308" i="1"/>
  <c r="O307" i="1"/>
  <c r="N309" i="1"/>
  <c r="F311" i="1" l="1"/>
  <c r="M310" i="1" s="1"/>
  <c r="H310" i="1"/>
  <c r="K310" i="1" s="1"/>
  <c r="X310" i="1"/>
  <c r="W309" i="1"/>
  <c r="W310" i="1" s="1"/>
  <c r="O308" i="1"/>
  <c r="N310" i="1"/>
  <c r="W311" i="1" l="1"/>
  <c r="F312" i="1"/>
  <c r="M311" i="1" s="1"/>
  <c r="H311" i="1"/>
  <c r="K311" i="1" s="1"/>
  <c r="X311" i="1"/>
  <c r="O309" i="1"/>
  <c r="N311" i="1"/>
  <c r="H312" i="1" l="1"/>
  <c r="K312" i="1" s="1"/>
  <c r="F313" i="1"/>
  <c r="M312" i="1" s="1"/>
  <c r="X312" i="1"/>
  <c r="O310" i="1"/>
  <c r="N312" i="1"/>
  <c r="F314" i="1" l="1"/>
  <c r="M313" i="1" s="1"/>
  <c r="H313" i="1"/>
  <c r="K313" i="1" s="1"/>
  <c r="W313" i="1" s="1"/>
  <c r="W312" i="1"/>
  <c r="X313" i="1"/>
  <c r="O311" i="1"/>
  <c r="N313" i="1"/>
  <c r="F315" i="1" l="1"/>
  <c r="M314" i="1" s="1"/>
  <c r="H314" i="1"/>
  <c r="K314" i="1" s="1"/>
  <c r="O312" i="1"/>
  <c r="N314" i="1"/>
  <c r="F316" i="1" l="1"/>
  <c r="M315" i="1" s="1"/>
  <c r="H315" i="1"/>
  <c r="K315" i="1" s="1"/>
  <c r="X314" i="1"/>
  <c r="X315" i="1" s="1"/>
  <c r="W314" i="1"/>
  <c r="W315" i="1" s="1"/>
  <c r="O313" i="1"/>
  <c r="N315" i="1"/>
  <c r="F317" i="1" l="1"/>
  <c r="M316" i="1" s="1"/>
  <c r="H316" i="1"/>
  <c r="K316" i="1" s="1"/>
  <c r="X316" i="1"/>
  <c r="O314" i="1"/>
  <c r="N316" i="1"/>
  <c r="W316" i="1" l="1"/>
  <c r="F318" i="1"/>
  <c r="M317" i="1" s="1"/>
  <c r="H317" i="1"/>
  <c r="K317" i="1" s="1"/>
  <c r="W317" i="1" s="1"/>
  <c r="X317" i="1"/>
  <c r="O315" i="1"/>
  <c r="N317" i="1"/>
  <c r="F319" i="1" l="1"/>
  <c r="M318" i="1" s="1"/>
  <c r="H318" i="1"/>
  <c r="K318" i="1" s="1"/>
  <c r="X318" i="1"/>
  <c r="O316" i="1"/>
  <c r="N318" i="1"/>
  <c r="F320" i="1" l="1"/>
  <c r="M319" i="1" s="1"/>
  <c r="H319" i="1"/>
  <c r="K319" i="1" s="1"/>
  <c r="W318" i="1"/>
  <c r="W319" i="1" s="1"/>
  <c r="X319" i="1"/>
  <c r="O317" i="1"/>
  <c r="N319" i="1"/>
  <c r="H320" i="1" l="1"/>
  <c r="K320" i="1" s="1"/>
  <c r="F321" i="1"/>
  <c r="M320" i="1" s="1"/>
  <c r="W320" i="1"/>
  <c r="X320" i="1"/>
  <c r="O318" i="1"/>
  <c r="N320" i="1"/>
  <c r="F322" i="1" l="1"/>
  <c r="M321" i="1" s="1"/>
  <c r="H321" i="1"/>
  <c r="K321" i="1" s="1"/>
  <c r="W321" i="1" s="1"/>
  <c r="X321" i="1"/>
  <c r="O319" i="1"/>
  <c r="N321" i="1"/>
  <c r="H322" i="1" l="1"/>
  <c r="K322" i="1" s="1"/>
  <c r="F323" i="1"/>
  <c r="M322" i="1" s="1"/>
  <c r="X322" i="1"/>
  <c r="W322" i="1"/>
  <c r="O320" i="1"/>
  <c r="N322" i="1"/>
  <c r="W323" i="1" l="1"/>
  <c r="H323" i="1"/>
  <c r="K323" i="1" s="1"/>
  <c r="F324" i="1"/>
  <c r="M323" i="1" s="1"/>
  <c r="X323" i="1"/>
  <c r="O321" i="1"/>
  <c r="N323" i="1"/>
  <c r="F325" i="1" l="1"/>
  <c r="M324" i="1" s="1"/>
  <c r="H324" i="1"/>
  <c r="K324" i="1" s="1"/>
  <c r="W324" i="1" s="1"/>
  <c r="O322" i="1"/>
  <c r="N324" i="1"/>
  <c r="X324" i="1" l="1"/>
  <c r="F326" i="1"/>
  <c r="M325" i="1" s="1"/>
  <c r="H325" i="1"/>
  <c r="K325" i="1" s="1"/>
  <c r="W325" i="1" s="1"/>
  <c r="X325" i="1"/>
  <c r="O323" i="1"/>
  <c r="N325" i="1"/>
  <c r="F327" i="1" l="1"/>
  <c r="M326" i="1" s="1"/>
  <c r="H326" i="1"/>
  <c r="K326" i="1" s="1"/>
  <c r="W326" i="1"/>
  <c r="O324" i="1"/>
  <c r="N326" i="1"/>
  <c r="F328" i="1" l="1"/>
  <c r="M327" i="1" s="1"/>
  <c r="H327" i="1"/>
  <c r="K327" i="1" s="1"/>
  <c r="W327" i="1" s="1"/>
  <c r="X326" i="1"/>
  <c r="X327" i="1" s="1"/>
  <c r="O325" i="1"/>
  <c r="N327" i="1"/>
  <c r="F329" i="1" l="1"/>
  <c r="M328" i="1" s="1"/>
  <c r="H328" i="1"/>
  <c r="K328" i="1" s="1"/>
  <c r="W328" i="1"/>
  <c r="O326" i="1"/>
  <c r="N328" i="1"/>
  <c r="F330" i="1" l="1"/>
  <c r="M329" i="1" s="1"/>
  <c r="H329" i="1"/>
  <c r="K329" i="1" s="1"/>
  <c r="X329" i="1"/>
  <c r="X328" i="1"/>
  <c r="W329" i="1"/>
  <c r="O327" i="1"/>
  <c r="N329" i="1"/>
  <c r="H330" i="1" l="1"/>
  <c r="K330" i="1" s="1"/>
  <c r="W330" i="1" s="1"/>
  <c r="F331" i="1"/>
  <c r="M330" i="1" s="1"/>
  <c r="X330" i="1"/>
  <c r="O328" i="1"/>
  <c r="N330" i="1"/>
  <c r="F332" i="1" l="1"/>
  <c r="M331" i="1" s="1"/>
  <c r="H331" i="1"/>
  <c r="K331" i="1" s="1"/>
  <c r="X331" i="1"/>
  <c r="W331" i="1"/>
  <c r="O329" i="1"/>
  <c r="N331" i="1"/>
  <c r="F333" i="1" l="1"/>
  <c r="M332" i="1" s="1"/>
  <c r="H332" i="1"/>
  <c r="K332" i="1" s="1"/>
  <c r="W332" i="1"/>
  <c r="O330" i="1"/>
  <c r="N332" i="1"/>
  <c r="F334" i="1" l="1"/>
  <c r="M333" i="1" s="1"/>
  <c r="H333" i="1"/>
  <c r="K333" i="1" s="1"/>
  <c r="W333" i="1" s="1"/>
  <c r="X332" i="1"/>
  <c r="X333" i="1" s="1"/>
  <c r="O331" i="1"/>
  <c r="N333" i="1"/>
  <c r="F335" i="1" l="1"/>
  <c r="M334" i="1" s="1"/>
  <c r="H334" i="1"/>
  <c r="K334" i="1" s="1"/>
  <c r="W334" i="1"/>
  <c r="O332" i="1"/>
  <c r="N334" i="1"/>
  <c r="F336" i="1" l="1"/>
  <c r="M335" i="1" s="1"/>
  <c r="H335" i="1"/>
  <c r="K335" i="1" s="1"/>
  <c r="W335" i="1" s="1"/>
  <c r="X335" i="1"/>
  <c r="X334" i="1"/>
  <c r="O333" i="1"/>
  <c r="N335" i="1"/>
  <c r="F337" i="1" l="1"/>
  <c r="M336" i="1" s="1"/>
  <c r="H336" i="1"/>
  <c r="K336" i="1" s="1"/>
  <c r="W336" i="1"/>
  <c r="O334" i="1"/>
  <c r="N336" i="1"/>
  <c r="F338" i="1" l="1"/>
  <c r="M337" i="1" s="1"/>
  <c r="H337" i="1"/>
  <c r="K337" i="1" s="1"/>
  <c r="X337" i="1"/>
  <c r="X336" i="1"/>
  <c r="W337" i="1"/>
  <c r="O335" i="1"/>
  <c r="N337" i="1"/>
  <c r="F339" i="1" l="1"/>
  <c r="M338" i="1" s="1"/>
  <c r="H338" i="1"/>
  <c r="K338" i="1" s="1"/>
  <c r="W338" i="1"/>
  <c r="O336" i="1"/>
  <c r="N338" i="1"/>
  <c r="F340" i="1" l="1"/>
  <c r="M339" i="1" s="1"/>
  <c r="H339" i="1"/>
  <c r="K339" i="1" s="1"/>
  <c r="W339" i="1" s="1"/>
  <c r="X339" i="1"/>
  <c r="X338" i="1"/>
  <c r="O337" i="1"/>
  <c r="N339" i="1"/>
  <c r="F341" i="1" l="1"/>
  <c r="M340" i="1" s="1"/>
  <c r="H340" i="1"/>
  <c r="K340" i="1" s="1"/>
  <c r="W340" i="1" s="1"/>
  <c r="X340" i="1"/>
  <c r="O338" i="1"/>
  <c r="N340" i="1"/>
  <c r="F342" i="1" l="1"/>
  <c r="M341" i="1" s="1"/>
  <c r="H341" i="1"/>
  <c r="K341" i="1" s="1"/>
  <c r="W341" i="1" s="1"/>
  <c r="X341" i="1"/>
  <c r="O339" i="1"/>
  <c r="N341" i="1"/>
  <c r="F343" i="1" l="1"/>
  <c r="M342" i="1" s="1"/>
  <c r="H342" i="1"/>
  <c r="K342" i="1" s="1"/>
  <c r="O340" i="1"/>
  <c r="N342" i="1"/>
  <c r="F344" i="1" l="1"/>
  <c r="M343" i="1" s="1"/>
  <c r="H343" i="1"/>
  <c r="K343" i="1" s="1"/>
  <c r="X343" i="1"/>
  <c r="X342" i="1"/>
  <c r="W342" i="1"/>
  <c r="W343" i="1" s="1"/>
  <c r="O341" i="1"/>
  <c r="N343" i="1"/>
  <c r="F345" i="1" l="1"/>
  <c r="M344" i="1" s="1"/>
  <c r="H344" i="1"/>
  <c r="K344" i="1" s="1"/>
  <c r="W344" i="1"/>
  <c r="X344" i="1"/>
  <c r="O342" i="1"/>
  <c r="N344" i="1"/>
  <c r="F346" i="1" l="1"/>
  <c r="M345" i="1" s="1"/>
  <c r="H345" i="1"/>
  <c r="K345" i="1" s="1"/>
  <c r="W345" i="1"/>
  <c r="X345" i="1"/>
  <c r="O343" i="1"/>
  <c r="N345" i="1"/>
  <c r="H346" i="1" l="1"/>
  <c r="K346" i="1" s="1"/>
  <c r="F347" i="1"/>
  <c r="M346" i="1" s="1"/>
  <c r="X346" i="1"/>
  <c r="W346" i="1"/>
  <c r="O344" i="1"/>
  <c r="N346" i="1"/>
  <c r="F348" i="1" l="1"/>
  <c r="M347" i="1" s="1"/>
  <c r="H347" i="1"/>
  <c r="K347" i="1" s="1"/>
  <c r="W347" i="1"/>
  <c r="O345" i="1"/>
  <c r="N347" i="1"/>
  <c r="F349" i="1" l="1"/>
  <c r="M348" i="1" s="1"/>
  <c r="H348" i="1"/>
  <c r="K348" i="1" s="1"/>
  <c r="W348" i="1" s="1"/>
  <c r="X347" i="1"/>
  <c r="X348" i="1" s="1"/>
  <c r="O346" i="1"/>
  <c r="N348" i="1"/>
  <c r="F350" i="1" l="1"/>
  <c r="M349" i="1" s="1"/>
  <c r="H349" i="1"/>
  <c r="K349" i="1" s="1"/>
  <c r="X349" i="1"/>
  <c r="W349" i="1"/>
  <c r="O347" i="1"/>
  <c r="N349" i="1"/>
  <c r="F351" i="1" l="1"/>
  <c r="M350" i="1" s="1"/>
  <c r="H350" i="1"/>
  <c r="K350" i="1" s="1"/>
  <c r="W350" i="1" s="1"/>
  <c r="X350" i="1"/>
  <c r="O348" i="1"/>
  <c r="N350" i="1"/>
  <c r="F352" i="1" l="1"/>
  <c r="M351" i="1" s="1"/>
  <c r="H351" i="1"/>
  <c r="K351" i="1" s="1"/>
  <c r="W351" i="1" s="1"/>
  <c r="X351" i="1"/>
  <c r="O349" i="1"/>
  <c r="N351" i="1"/>
  <c r="F353" i="1" l="1"/>
  <c r="M352" i="1" s="1"/>
  <c r="H352" i="1"/>
  <c r="K352" i="1" s="1"/>
  <c r="W352" i="1" s="1"/>
  <c r="X352" i="1"/>
  <c r="O350" i="1"/>
  <c r="N352" i="1"/>
  <c r="H353" i="1" l="1"/>
  <c r="K353" i="1" s="1"/>
  <c r="W353" i="1" s="1"/>
  <c r="F354" i="1"/>
  <c r="M353" i="1" s="1"/>
  <c r="X353" i="1"/>
  <c r="O351" i="1"/>
  <c r="N353" i="1"/>
  <c r="F355" i="1" l="1"/>
  <c r="M354" i="1" s="1"/>
  <c r="H354" i="1"/>
  <c r="K354" i="1" s="1"/>
  <c r="W354" i="1"/>
  <c r="O352" i="1"/>
  <c r="N354" i="1"/>
  <c r="F356" i="1" l="1"/>
  <c r="M355" i="1" s="1"/>
  <c r="H355" i="1"/>
  <c r="K355" i="1" s="1"/>
  <c r="W355" i="1" s="1"/>
  <c r="X354" i="1"/>
  <c r="X355" i="1" s="1"/>
  <c r="O353" i="1"/>
  <c r="N355" i="1"/>
  <c r="W356" i="1" l="1"/>
  <c r="F357" i="1"/>
  <c r="M356" i="1" s="1"/>
  <c r="H356" i="1"/>
  <c r="K356" i="1" s="1"/>
  <c r="X356" i="1"/>
  <c r="O354" i="1"/>
  <c r="N356" i="1"/>
  <c r="F358" i="1" l="1"/>
  <c r="M357" i="1" s="1"/>
  <c r="H357" i="1"/>
  <c r="K357" i="1" s="1"/>
  <c r="W357" i="1" s="1"/>
  <c r="X357" i="1"/>
  <c r="O355" i="1"/>
  <c r="N357" i="1"/>
  <c r="F359" i="1" l="1"/>
  <c r="M358" i="1" s="1"/>
  <c r="H358" i="1"/>
  <c r="K358" i="1" s="1"/>
  <c r="W358" i="1"/>
  <c r="O356" i="1"/>
  <c r="N358" i="1"/>
  <c r="F360" i="1" l="1"/>
  <c r="M359" i="1" s="1"/>
  <c r="H359" i="1"/>
  <c r="K359" i="1" s="1"/>
  <c r="X359" i="1"/>
  <c r="X358" i="1"/>
  <c r="W359" i="1"/>
  <c r="O357" i="1"/>
  <c r="N359" i="1"/>
  <c r="F361" i="1" l="1"/>
  <c r="M360" i="1" s="1"/>
  <c r="H360" i="1"/>
  <c r="K360" i="1" s="1"/>
  <c r="O358" i="1"/>
  <c r="N360" i="1"/>
  <c r="F362" i="1" l="1"/>
  <c r="M361" i="1" s="1"/>
  <c r="H361" i="1"/>
  <c r="K361" i="1" s="1"/>
  <c r="X361" i="1"/>
  <c r="X360" i="1"/>
  <c r="W360" i="1"/>
  <c r="W361" i="1" s="1"/>
  <c r="O359" i="1"/>
  <c r="N361" i="1"/>
  <c r="F363" i="1" l="1"/>
  <c r="M362" i="1" s="1"/>
  <c r="H362" i="1"/>
  <c r="K362" i="1" s="1"/>
  <c r="X362" i="1"/>
  <c r="W362" i="1"/>
  <c r="O360" i="1"/>
  <c r="N362" i="1"/>
  <c r="F364" i="1" l="1"/>
  <c r="M363" i="1" s="1"/>
  <c r="H363" i="1"/>
  <c r="K363" i="1" s="1"/>
  <c r="X363" i="1"/>
  <c r="W363" i="1"/>
  <c r="O361" i="1"/>
  <c r="N363" i="1"/>
  <c r="F365" i="1" l="1"/>
  <c r="M364" i="1" s="1"/>
  <c r="H364" i="1"/>
  <c r="K364" i="1" s="1"/>
  <c r="W364" i="1"/>
  <c r="O362" i="1"/>
  <c r="N364" i="1"/>
  <c r="F366" i="1" l="1"/>
  <c r="M365" i="1" s="1"/>
  <c r="H365" i="1"/>
  <c r="K365" i="1" s="1"/>
  <c r="W365" i="1" s="1"/>
  <c r="X365" i="1"/>
  <c r="X364" i="1"/>
  <c r="O363" i="1"/>
  <c r="N365" i="1"/>
  <c r="F367" i="1" l="1"/>
  <c r="M366" i="1" s="1"/>
  <c r="H366" i="1"/>
  <c r="K366" i="1" s="1"/>
  <c r="W366" i="1" s="1"/>
  <c r="X366" i="1"/>
  <c r="O364" i="1"/>
  <c r="N366" i="1"/>
  <c r="F368" i="1" l="1"/>
  <c r="M367" i="1" s="1"/>
  <c r="H367" i="1"/>
  <c r="K367" i="1" s="1"/>
  <c r="W367" i="1"/>
  <c r="O365" i="1"/>
  <c r="N367" i="1"/>
  <c r="F369" i="1" l="1"/>
  <c r="M368" i="1" s="1"/>
  <c r="H368" i="1"/>
  <c r="K368" i="1" s="1"/>
  <c r="W368" i="1" s="1"/>
  <c r="X367" i="1"/>
  <c r="X368" i="1" s="1"/>
  <c r="O366" i="1"/>
  <c r="N368" i="1"/>
  <c r="F370" i="1" l="1"/>
  <c r="M369" i="1" s="1"/>
  <c r="H369" i="1"/>
  <c r="K369" i="1" s="1"/>
  <c r="W369" i="1" s="1"/>
  <c r="X369" i="1"/>
  <c r="O367" i="1"/>
  <c r="N369" i="1"/>
  <c r="F371" i="1" l="1"/>
  <c r="M370" i="1" s="1"/>
  <c r="H370" i="1"/>
  <c r="K370" i="1" s="1"/>
  <c r="W370" i="1" s="1"/>
  <c r="X370" i="1"/>
  <c r="H371" i="1"/>
  <c r="K371" i="1" s="1"/>
  <c r="F372" i="1"/>
  <c r="M371" i="1" s="1"/>
  <c r="O368" i="1"/>
  <c r="N370" i="1"/>
  <c r="X371" i="1" l="1"/>
  <c r="W371" i="1"/>
  <c r="H372" i="1"/>
  <c r="K372" i="1" s="1"/>
  <c r="F373" i="1"/>
  <c r="M372" i="1" s="1"/>
  <c r="W372" i="1"/>
  <c r="O369" i="1"/>
  <c r="N371" i="1"/>
  <c r="X372" i="1" l="1"/>
  <c r="H373" i="1"/>
  <c r="K373" i="1" s="1"/>
  <c r="F374" i="1"/>
  <c r="M373" i="1" s="1"/>
  <c r="W373" i="1"/>
  <c r="O370" i="1"/>
  <c r="N372" i="1"/>
  <c r="X373" i="1" l="1"/>
  <c r="H374" i="1"/>
  <c r="K374" i="1" s="1"/>
  <c r="F375" i="1"/>
  <c r="M374" i="1" s="1"/>
  <c r="W374" i="1"/>
  <c r="O371" i="1"/>
  <c r="N373" i="1"/>
  <c r="X374" i="1" l="1"/>
  <c r="H375" i="1"/>
  <c r="K375" i="1" s="1"/>
  <c r="F376" i="1"/>
  <c r="M375" i="1" s="1"/>
  <c r="W375" i="1"/>
  <c r="O372" i="1"/>
  <c r="N374" i="1"/>
  <c r="X375" i="1" l="1"/>
  <c r="H376" i="1"/>
  <c r="K376" i="1" s="1"/>
  <c r="F377" i="1"/>
  <c r="M376" i="1" s="1"/>
  <c r="W376" i="1"/>
  <c r="O373" i="1"/>
  <c r="N375" i="1"/>
  <c r="X376" i="1" l="1"/>
  <c r="H377" i="1"/>
  <c r="K377" i="1" s="1"/>
  <c r="F378" i="1"/>
  <c r="M377" i="1" s="1"/>
  <c r="O374" i="1"/>
  <c r="N376" i="1"/>
  <c r="X377" i="1" l="1"/>
  <c r="W377" i="1"/>
  <c r="H378" i="1"/>
  <c r="K378" i="1" s="1"/>
  <c r="F379" i="1"/>
  <c r="M378" i="1" s="1"/>
  <c r="W378" i="1"/>
  <c r="O375" i="1"/>
  <c r="N377" i="1"/>
  <c r="X378" i="1" l="1"/>
  <c r="H379" i="1"/>
  <c r="K379" i="1" s="1"/>
  <c r="F380" i="1"/>
  <c r="M379" i="1" s="1"/>
  <c r="O376" i="1"/>
  <c r="N378" i="1"/>
  <c r="W379" i="1" l="1"/>
  <c r="H380" i="1"/>
  <c r="K380" i="1" s="1"/>
  <c r="F381" i="1"/>
  <c r="M380" i="1" s="1"/>
  <c r="O377" i="1"/>
  <c r="N379" i="1"/>
  <c r="X379" i="1" l="1"/>
  <c r="W380" i="1"/>
  <c r="X380" i="1"/>
  <c r="H381" i="1"/>
  <c r="K381" i="1" s="1"/>
  <c r="F382" i="1"/>
  <c r="M381" i="1" s="1"/>
  <c r="O378" i="1"/>
  <c r="N380" i="1"/>
  <c r="W381" i="1" l="1"/>
  <c r="X381" i="1"/>
  <c r="H382" i="1"/>
  <c r="K382" i="1" s="1"/>
  <c r="F383" i="1"/>
  <c r="M382" i="1" s="1"/>
  <c r="O379" i="1"/>
  <c r="N381" i="1"/>
  <c r="W382" i="1" l="1"/>
  <c r="W383" i="1" s="1"/>
  <c r="H383" i="1"/>
  <c r="K383" i="1" s="1"/>
  <c r="F384" i="1"/>
  <c r="M383" i="1" s="1"/>
  <c r="O380" i="1"/>
  <c r="N382" i="1"/>
  <c r="X383" i="1" l="1"/>
  <c r="X382" i="1"/>
  <c r="H384" i="1"/>
  <c r="K384" i="1" s="1"/>
  <c r="F385" i="1"/>
  <c r="M384" i="1" s="1"/>
  <c r="O381" i="1"/>
  <c r="N383" i="1"/>
  <c r="W384" i="1" l="1"/>
  <c r="H385" i="1"/>
  <c r="K385" i="1" s="1"/>
  <c r="F386" i="1"/>
  <c r="M385" i="1" s="1"/>
  <c r="W385" i="1"/>
  <c r="O382" i="1"/>
  <c r="N384" i="1"/>
  <c r="X384" i="1" l="1"/>
  <c r="X385" i="1" s="1"/>
  <c r="H386" i="1"/>
  <c r="K386" i="1" s="1"/>
  <c r="F387" i="1"/>
  <c r="M386" i="1" s="1"/>
  <c r="O383" i="1"/>
  <c r="N385" i="1"/>
  <c r="X386" i="1" l="1"/>
  <c r="W386" i="1"/>
  <c r="H387" i="1"/>
  <c r="K387" i="1" s="1"/>
  <c r="F388" i="1"/>
  <c r="M387" i="1" s="1"/>
  <c r="O384" i="1"/>
  <c r="N386" i="1"/>
  <c r="W387" i="1" l="1"/>
  <c r="X387" i="1"/>
  <c r="H388" i="1"/>
  <c r="K388" i="1" s="1"/>
  <c r="F389" i="1"/>
  <c r="M388" i="1" s="1"/>
  <c r="O385" i="1"/>
  <c r="N387" i="1"/>
  <c r="W388" i="1" l="1"/>
  <c r="H389" i="1"/>
  <c r="K389" i="1" s="1"/>
  <c r="F390" i="1"/>
  <c r="M389" i="1" s="1"/>
  <c r="W389" i="1"/>
  <c r="O386" i="1"/>
  <c r="N388" i="1"/>
  <c r="X388" i="1" l="1"/>
  <c r="X389" i="1" s="1"/>
  <c r="H390" i="1"/>
  <c r="K390" i="1" s="1"/>
  <c r="F391" i="1"/>
  <c r="M390" i="1" s="1"/>
  <c r="W390" i="1"/>
  <c r="O387" i="1"/>
  <c r="N389" i="1"/>
  <c r="X390" i="1" l="1"/>
  <c r="H391" i="1"/>
  <c r="K391" i="1" s="1"/>
  <c r="F392" i="1"/>
  <c r="M391" i="1" s="1"/>
  <c r="W391" i="1"/>
  <c r="O388" i="1"/>
  <c r="N390" i="1"/>
  <c r="X391" i="1" l="1"/>
  <c r="H392" i="1"/>
  <c r="K392" i="1" s="1"/>
  <c r="W392" i="1" s="1"/>
  <c r="F393" i="1"/>
  <c r="M392" i="1" s="1"/>
  <c r="O389" i="1"/>
  <c r="N391" i="1"/>
  <c r="X392" i="1" l="1"/>
  <c r="H393" i="1"/>
  <c r="K393" i="1" s="1"/>
  <c r="F394" i="1"/>
  <c r="M393" i="1" s="1"/>
  <c r="O390" i="1"/>
  <c r="N392" i="1"/>
  <c r="X393" i="1" l="1"/>
  <c r="W393" i="1"/>
  <c r="H394" i="1"/>
  <c r="K394" i="1" s="1"/>
  <c r="F395" i="1"/>
  <c r="M394" i="1" s="1"/>
  <c r="O391" i="1"/>
  <c r="N393" i="1"/>
  <c r="X394" i="1" l="1"/>
  <c r="W394" i="1"/>
  <c r="W395" i="1" s="1"/>
  <c r="H395" i="1"/>
  <c r="K395" i="1" s="1"/>
  <c r="F396" i="1"/>
  <c r="M395" i="1" s="1"/>
  <c r="O392" i="1"/>
  <c r="N394" i="1"/>
  <c r="X395" i="1" l="1"/>
  <c r="H396" i="1"/>
  <c r="K396" i="1" s="1"/>
  <c r="F397" i="1"/>
  <c r="M396" i="1" s="1"/>
  <c r="W396" i="1"/>
  <c r="O393" i="1"/>
  <c r="N395" i="1"/>
  <c r="X396" i="1" l="1"/>
  <c r="H397" i="1"/>
  <c r="K397" i="1" s="1"/>
  <c r="W397" i="1" s="1"/>
  <c r="F398" i="1"/>
  <c r="M397" i="1" s="1"/>
  <c r="O394" i="1"/>
  <c r="N396" i="1"/>
  <c r="X397" i="1" l="1"/>
  <c r="H398" i="1"/>
  <c r="K398" i="1" s="1"/>
  <c r="F399" i="1"/>
  <c r="M398" i="1" s="1"/>
  <c r="O395" i="1"/>
  <c r="N397" i="1"/>
  <c r="W398" i="1" l="1"/>
  <c r="H399" i="1"/>
  <c r="K399" i="1" s="1"/>
  <c r="F400" i="1"/>
  <c r="M399" i="1" s="1"/>
  <c r="W399" i="1"/>
  <c r="O396" i="1"/>
  <c r="N398" i="1"/>
  <c r="X398" i="1" l="1"/>
  <c r="X399" i="1" s="1"/>
  <c r="H400" i="1"/>
  <c r="K400" i="1" s="1"/>
  <c r="F401" i="1"/>
  <c r="M400" i="1" s="1"/>
  <c r="W400" i="1"/>
  <c r="O397" i="1"/>
  <c r="N399" i="1"/>
  <c r="X400" i="1" l="1"/>
  <c r="H401" i="1"/>
  <c r="K401" i="1" s="1"/>
  <c r="W401" i="1" s="1"/>
  <c r="F402" i="1"/>
  <c r="M401" i="1" s="1"/>
  <c r="O398" i="1"/>
  <c r="N400" i="1"/>
  <c r="X401" i="1" l="1"/>
  <c r="H402" i="1"/>
  <c r="K402" i="1" s="1"/>
  <c r="F403" i="1"/>
  <c r="M402" i="1" s="1"/>
  <c r="W402" i="1"/>
  <c r="O399" i="1"/>
  <c r="N401" i="1"/>
  <c r="X402" i="1" l="1"/>
  <c r="H403" i="1"/>
  <c r="K403" i="1" s="1"/>
  <c r="W403" i="1" s="1"/>
  <c r="F404" i="1"/>
  <c r="M403" i="1" s="1"/>
  <c r="O400" i="1"/>
  <c r="N402" i="1"/>
  <c r="X403" i="1" l="1"/>
  <c r="H404" i="1"/>
  <c r="K404" i="1" s="1"/>
  <c r="F405" i="1"/>
  <c r="M404" i="1" s="1"/>
  <c r="W404" i="1"/>
  <c r="O401" i="1"/>
  <c r="N403" i="1"/>
  <c r="X404" i="1" l="1"/>
  <c r="H405" i="1"/>
  <c r="K405" i="1" s="1"/>
  <c r="F406" i="1"/>
  <c r="M405" i="1" s="1"/>
  <c r="O402" i="1"/>
  <c r="N404" i="1"/>
  <c r="W405" i="1" l="1"/>
  <c r="H406" i="1"/>
  <c r="K406" i="1" s="1"/>
  <c r="F407" i="1"/>
  <c r="M406" i="1" s="1"/>
  <c r="W406" i="1"/>
  <c r="O403" i="1"/>
  <c r="N405" i="1"/>
  <c r="X405" i="1" l="1"/>
  <c r="X406" i="1" s="1"/>
  <c r="H407" i="1"/>
  <c r="K407" i="1" s="1"/>
  <c r="F408" i="1"/>
  <c r="M407" i="1" s="1"/>
  <c r="O404" i="1"/>
  <c r="N406" i="1"/>
  <c r="W407" i="1" l="1"/>
  <c r="X407" i="1"/>
  <c r="H408" i="1"/>
  <c r="K408" i="1" s="1"/>
  <c r="F409" i="1"/>
  <c r="M408" i="1" s="1"/>
  <c r="W408" i="1"/>
  <c r="O405" i="1"/>
  <c r="N407" i="1"/>
  <c r="X408" i="1" l="1"/>
  <c r="H409" i="1"/>
  <c r="K409" i="1" s="1"/>
  <c r="F410" i="1"/>
  <c r="M409" i="1" s="1"/>
  <c r="O406" i="1"/>
  <c r="N408" i="1"/>
  <c r="X409" i="1" l="1"/>
  <c r="W409" i="1"/>
  <c r="H410" i="1"/>
  <c r="K410" i="1" s="1"/>
  <c r="F411" i="1"/>
  <c r="M410" i="1" s="1"/>
  <c r="W410" i="1"/>
  <c r="O407" i="1"/>
  <c r="N409" i="1"/>
  <c r="X410" i="1" l="1"/>
  <c r="H411" i="1"/>
  <c r="K411" i="1" s="1"/>
  <c r="F412" i="1"/>
  <c r="M411" i="1" s="1"/>
  <c r="O408" i="1"/>
  <c r="N410" i="1"/>
  <c r="X411" i="1" l="1"/>
  <c r="W411" i="1"/>
  <c r="H412" i="1"/>
  <c r="K412" i="1" s="1"/>
  <c r="W412" i="1" s="1"/>
  <c r="F413" i="1"/>
  <c r="M412" i="1" s="1"/>
  <c r="O409" i="1"/>
  <c r="N411" i="1"/>
  <c r="X412" i="1" l="1"/>
  <c r="H413" i="1"/>
  <c r="K413" i="1" s="1"/>
  <c r="W413" i="1" s="1"/>
  <c r="F414" i="1"/>
  <c r="M413" i="1" s="1"/>
  <c r="O410" i="1"/>
  <c r="N412" i="1"/>
  <c r="X413" i="1" l="1"/>
  <c r="H414" i="1"/>
  <c r="K414" i="1" s="1"/>
  <c r="F415" i="1"/>
  <c r="M414" i="1" s="1"/>
  <c r="O411" i="1"/>
  <c r="N413" i="1"/>
  <c r="W414" i="1" l="1"/>
  <c r="H415" i="1"/>
  <c r="K415" i="1" s="1"/>
  <c r="F416" i="1"/>
  <c r="M415" i="1" s="1"/>
  <c r="W415" i="1"/>
  <c r="O412" i="1"/>
  <c r="N414" i="1"/>
  <c r="X415" i="1" l="1"/>
  <c r="X414" i="1"/>
  <c r="H416" i="1"/>
  <c r="K416" i="1" s="1"/>
  <c r="F417" i="1"/>
  <c r="M416" i="1" s="1"/>
  <c r="O413" i="1"/>
  <c r="N415" i="1"/>
  <c r="W416" i="1" l="1"/>
  <c r="H417" i="1"/>
  <c r="K417" i="1" s="1"/>
  <c r="F418" i="1"/>
  <c r="M417" i="1" s="1"/>
  <c r="W417" i="1"/>
  <c r="O414" i="1"/>
  <c r="N416" i="1"/>
  <c r="X416" i="1" l="1"/>
  <c r="X417" i="1" s="1"/>
  <c r="H418" i="1"/>
  <c r="K418" i="1" s="1"/>
  <c r="F419" i="1"/>
  <c r="M418" i="1" s="1"/>
  <c r="O415" i="1"/>
  <c r="N417" i="1"/>
  <c r="X418" i="1" l="1"/>
  <c r="W418" i="1"/>
  <c r="H419" i="1"/>
  <c r="K419" i="1" s="1"/>
  <c r="F420" i="1"/>
  <c r="M419" i="1" s="1"/>
  <c r="W419" i="1"/>
  <c r="O416" i="1"/>
  <c r="N418" i="1"/>
  <c r="X419" i="1" l="1"/>
  <c r="H420" i="1"/>
  <c r="K420" i="1" s="1"/>
  <c r="F421" i="1"/>
  <c r="M420" i="1" s="1"/>
  <c r="O417" i="1"/>
  <c r="N419" i="1"/>
  <c r="X420" i="1" l="1"/>
  <c r="W420" i="1"/>
  <c r="H421" i="1"/>
  <c r="K421" i="1" s="1"/>
  <c r="F422" i="1"/>
  <c r="M421" i="1" s="1"/>
  <c r="W421" i="1"/>
  <c r="O418" i="1"/>
  <c r="N420" i="1"/>
  <c r="O419" i="1" s="1"/>
  <c r="X421" i="1" l="1"/>
  <c r="H422" i="1"/>
  <c r="K422" i="1" s="1"/>
  <c r="W422" i="1" s="1"/>
  <c r="F423" i="1"/>
  <c r="M422" i="1" s="1"/>
  <c r="N421" i="1"/>
  <c r="O420" i="1" s="1"/>
  <c r="X422" i="1" l="1"/>
  <c r="H423" i="1"/>
  <c r="K423" i="1" s="1"/>
  <c r="F424" i="1"/>
  <c r="M423" i="1" s="1"/>
  <c r="N422" i="1"/>
  <c r="O421" i="1" s="1"/>
  <c r="W423" i="1" l="1"/>
  <c r="X423" i="1"/>
  <c r="H424" i="1"/>
  <c r="K424" i="1" s="1"/>
  <c r="F425" i="1"/>
  <c r="M424" i="1" s="1"/>
  <c r="W424" i="1"/>
  <c r="N423" i="1"/>
  <c r="O422" i="1" s="1"/>
  <c r="X424" i="1" l="1"/>
  <c r="H425" i="1"/>
  <c r="K425" i="1" s="1"/>
  <c r="F426" i="1"/>
  <c r="M425" i="1" s="1"/>
  <c r="W425" i="1"/>
  <c r="N424" i="1"/>
  <c r="O423" i="1" s="1"/>
  <c r="X425" i="1" l="1"/>
  <c r="H426" i="1"/>
  <c r="K426" i="1" s="1"/>
  <c r="F427" i="1"/>
  <c r="M426" i="1" s="1"/>
  <c r="N425" i="1"/>
  <c r="O424" i="1" s="1"/>
  <c r="X426" i="1" l="1"/>
  <c r="W426" i="1"/>
  <c r="H427" i="1"/>
  <c r="K427" i="1" s="1"/>
  <c r="F428" i="1"/>
  <c r="M427" i="1" s="1"/>
  <c r="W427" i="1"/>
  <c r="N426" i="1"/>
  <c r="O425" i="1" s="1"/>
  <c r="X427" i="1" l="1"/>
  <c r="H428" i="1"/>
  <c r="K428" i="1" s="1"/>
  <c r="W428" i="1" s="1"/>
  <c r="F429" i="1"/>
  <c r="M428" i="1" s="1"/>
  <c r="N427" i="1"/>
  <c r="O426" i="1" s="1"/>
  <c r="X428" i="1" l="1"/>
  <c r="H429" i="1"/>
  <c r="K429" i="1" s="1"/>
  <c r="F430" i="1"/>
  <c r="M429" i="1" s="1"/>
  <c r="N428" i="1"/>
  <c r="O427" i="1" s="1"/>
  <c r="X429" i="1" l="1"/>
  <c r="W429" i="1"/>
  <c r="W430" i="1" s="1"/>
  <c r="H430" i="1"/>
  <c r="K430" i="1" s="1"/>
  <c r="F431" i="1"/>
  <c r="M430" i="1" s="1"/>
  <c r="N429" i="1"/>
  <c r="O428" i="1" s="1"/>
  <c r="X430" i="1" l="1"/>
  <c r="H431" i="1"/>
  <c r="K431" i="1" s="1"/>
  <c r="F432" i="1"/>
  <c r="M431" i="1" s="1"/>
  <c r="N430" i="1"/>
  <c r="O429" i="1" s="1"/>
  <c r="X431" i="1" l="1"/>
  <c r="W431" i="1"/>
  <c r="H432" i="1"/>
  <c r="K432" i="1" s="1"/>
  <c r="W432" i="1" s="1"/>
  <c r="F433" i="1"/>
  <c r="M432" i="1" s="1"/>
  <c r="N431" i="1"/>
  <c r="O430" i="1" s="1"/>
  <c r="X432" i="1" l="1"/>
  <c r="H433" i="1"/>
  <c r="K433" i="1" s="1"/>
  <c r="F434" i="1"/>
  <c r="M433" i="1" s="1"/>
  <c r="W433" i="1"/>
  <c r="N432" i="1"/>
  <c r="O431" i="1" s="1"/>
  <c r="X433" i="1" l="1"/>
  <c r="H434" i="1"/>
  <c r="K434" i="1" s="1"/>
  <c r="W434" i="1" s="1"/>
  <c r="F435" i="1"/>
  <c r="M434" i="1" s="1"/>
  <c r="N433" i="1"/>
  <c r="O432" i="1" s="1"/>
  <c r="X434" i="1" l="1"/>
  <c r="H435" i="1"/>
  <c r="K435" i="1" s="1"/>
  <c r="W435" i="1" s="1"/>
  <c r="F436" i="1"/>
  <c r="M435" i="1" s="1"/>
  <c r="N434" i="1"/>
  <c r="O433" i="1" s="1"/>
  <c r="X435" i="1" l="1"/>
  <c r="H436" i="1"/>
  <c r="K436" i="1" s="1"/>
  <c r="F437" i="1"/>
  <c r="M436" i="1" s="1"/>
  <c r="N435" i="1"/>
  <c r="O434" i="1" s="1"/>
  <c r="X436" i="1" l="1"/>
  <c r="W436" i="1"/>
  <c r="H437" i="1"/>
  <c r="K437" i="1" s="1"/>
  <c r="F438" i="1"/>
  <c r="M437" i="1" s="1"/>
  <c r="N436" i="1"/>
  <c r="O435" i="1" s="1"/>
  <c r="W437" i="1" l="1"/>
  <c r="X437" i="1"/>
  <c r="H438" i="1"/>
  <c r="K438" i="1" s="1"/>
  <c r="F439" i="1"/>
  <c r="M438" i="1" s="1"/>
  <c r="N437" i="1"/>
  <c r="O436" i="1" s="1"/>
  <c r="X438" i="1" l="1"/>
  <c r="W438" i="1"/>
  <c r="H439" i="1"/>
  <c r="K439" i="1" s="1"/>
  <c r="F440" i="1"/>
  <c r="M439" i="1" s="1"/>
  <c r="N438" i="1"/>
  <c r="O437" i="1" s="1"/>
  <c r="H440" i="1" l="1"/>
  <c r="K440" i="1" s="1"/>
  <c r="F441" i="1"/>
  <c r="M440" i="1" s="1"/>
  <c r="N439" i="1"/>
  <c r="O438" i="1" s="1"/>
  <c r="X439" i="1" l="1"/>
  <c r="W439" i="1"/>
  <c r="W440" i="1" s="1"/>
  <c r="X440" i="1"/>
  <c r="H441" i="1"/>
  <c r="K441" i="1" s="1"/>
  <c r="F442" i="1"/>
  <c r="M441" i="1" s="1"/>
  <c r="N440" i="1"/>
  <c r="O439" i="1" s="1"/>
  <c r="X441" i="1" l="1"/>
  <c r="W441" i="1"/>
  <c r="H442" i="1"/>
  <c r="K442" i="1" s="1"/>
  <c r="F443" i="1"/>
  <c r="M442" i="1" s="1"/>
  <c r="W442" i="1"/>
  <c r="N441" i="1"/>
  <c r="O440" i="1" s="1"/>
  <c r="X442" i="1" l="1"/>
  <c r="H443" i="1"/>
  <c r="K443" i="1" s="1"/>
  <c r="F444" i="1"/>
  <c r="M443" i="1" s="1"/>
  <c r="N442" i="1"/>
  <c r="O441" i="1" s="1"/>
  <c r="X443" i="1" l="1"/>
  <c r="W443" i="1"/>
  <c r="H444" i="1"/>
  <c r="K444" i="1" s="1"/>
  <c r="F445" i="1"/>
  <c r="M444" i="1" s="1"/>
  <c r="W444" i="1"/>
  <c r="N443" i="1"/>
  <c r="O442" i="1" s="1"/>
  <c r="X444" i="1" l="1"/>
  <c r="H445" i="1"/>
  <c r="K445" i="1" s="1"/>
  <c r="F446" i="1"/>
  <c r="M445" i="1" s="1"/>
  <c r="N444" i="1"/>
  <c r="W445" i="1" l="1"/>
  <c r="X445" i="1"/>
  <c r="H446" i="1"/>
  <c r="K446" i="1" s="1"/>
  <c r="W446" i="1" s="1"/>
  <c r="F447" i="1"/>
  <c r="M446" i="1" s="1"/>
  <c r="O443" i="1"/>
  <c r="N445" i="1"/>
  <c r="O444" i="1" s="1"/>
  <c r="X446" i="1" l="1"/>
  <c r="H447" i="1"/>
  <c r="K447" i="1" s="1"/>
  <c r="F448" i="1"/>
  <c r="M447" i="1" s="1"/>
  <c r="W447" i="1"/>
  <c r="N446" i="1"/>
  <c r="O445" i="1" s="1"/>
  <c r="X447" i="1" l="1"/>
  <c r="H448" i="1"/>
  <c r="K448" i="1" s="1"/>
  <c r="W448" i="1" s="1"/>
  <c r="F449" i="1"/>
  <c r="M448" i="1" s="1"/>
  <c r="N447" i="1"/>
  <c r="O446" i="1" s="1"/>
  <c r="X448" i="1" l="1"/>
  <c r="H449" i="1"/>
  <c r="K449" i="1" s="1"/>
  <c r="F450" i="1"/>
  <c r="M449" i="1" s="1"/>
  <c r="N448" i="1"/>
  <c r="O447" i="1" s="1"/>
  <c r="X449" i="1" l="1"/>
  <c r="W449" i="1"/>
  <c r="H450" i="1"/>
  <c r="K450" i="1" s="1"/>
  <c r="F451" i="1"/>
  <c r="M450" i="1" s="1"/>
  <c r="N449" i="1"/>
  <c r="O448" i="1" s="1"/>
  <c r="H451" i="1" l="1"/>
  <c r="K451" i="1" s="1"/>
  <c r="F452" i="1"/>
  <c r="M451" i="1" s="1"/>
  <c r="N450" i="1"/>
  <c r="O449" i="1" s="1"/>
  <c r="X451" i="1" l="1"/>
  <c r="X450" i="1"/>
  <c r="W450" i="1"/>
  <c r="W451" i="1" s="1"/>
  <c r="H452" i="1"/>
  <c r="K452" i="1" s="1"/>
  <c r="F453" i="1"/>
  <c r="M452" i="1" s="1"/>
  <c r="N451" i="1"/>
  <c r="O450" i="1" s="1"/>
  <c r="W452" i="1" l="1"/>
  <c r="X452" i="1"/>
  <c r="H453" i="1"/>
  <c r="K453" i="1" s="1"/>
  <c r="F454" i="1"/>
  <c r="M453" i="1" s="1"/>
  <c r="N452" i="1"/>
  <c r="O451" i="1" s="1"/>
  <c r="W453" i="1" l="1"/>
  <c r="X453" i="1"/>
  <c r="H454" i="1"/>
  <c r="K454" i="1" s="1"/>
  <c r="F455" i="1"/>
  <c r="M454" i="1" s="1"/>
  <c r="N453" i="1"/>
  <c r="O452" i="1" s="1"/>
  <c r="X454" i="1" l="1"/>
  <c r="W454" i="1"/>
  <c r="H455" i="1"/>
  <c r="K455" i="1" s="1"/>
  <c r="F456" i="1"/>
  <c r="M455" i="1" s="1"/>
  <c r="N454" i="1"/>
  <c r="O453" i="1" s="1"/>
  <c r="W455" i="1" l="1"/>
  <c r="H456" i="1"/>
  <c r="K456" i="1" s="1"/>
  <c r="F457" i="1"/>
  <c r="M456" i="1" s="1"/>
  <c r="N455" i="1"/>
  <c r="O454" i="1" s="1"/>
  <c r="X455" i="1" l="1"/>
  <c r="H457" i="1"/>
  <c r="K457" i="1" s="1"/>
  <c r="F458" i="1"/>
  <c r="M457" i="1" s="1"/>
  <c r="N456" i="1"/>
  <c r="O455" i="1" s="1"/>
  <c r="W456" i="1" l="1"/>
  <c r="W457" i="1" s="1"/>
  <c r="W458" i="1" s="1"/>
  <c r="X456" i="1"/>
  <c r="X457" i="1" s="1"/>
  <c r="H458" i="1"/>
  <c r="K458" i="1" s="1"/>
  <c r="F459" i="1"/>
  <c r="M458" i="1" s="1"/>
  <c r="N457" i="1"/>
  <c r="X458" i="1" l="1"/>
  <c r="H459" i="1"/>
  <c r="K459" i="1" s="1"/>
  <c r="F460" i="1"/>
  <c r="M459" i="1" s="1"/>
  <c r="O456" i="1"/>
  <c r="N458" i="1"/>
  <c r="X459" i="1" l="1"/>
  <c r="W459" i="1"/>
  <c r="W460" i="1" s="1"/>
  <c r="H460" i="1"/>
  <c r="K460" i="1" s="1"/>
  <c r="F461" i="1"/>
  <c r="M460" i="1" s="1"/>
  <c r="O457" i="1"/>
  <c r="N459" i="1"/>
  <c r="O458" i="1" s="1"/>
  <c r="X460" i="1" l="1"/>
  <c r="H461" i="1"/>
  <c r="K461" i="1" s="1"/>
  <c r="F462" i="1"/>
  <c r="M461" i="1" s="1"/>
  <c r="N460" i="1"/>
  <c r="O459" i="1" s="1"/>
  <c r="W461" i="1" l="1"/>
  <c r="H462" i="1"/>
  <c r="K462" i="1" s="1"/>
  <c r="F463" i="1"/>
  <c r="M462" i="1" s="1"/>
  <c r="N461" i="1"/>
  <c r="O460" i="1" s="1"/>
  <c r="X461" i="1" l="1"/>
  <c r="H463" i="1"/>
  <c r="K463" i="1" s="1"/>
  <c r="F464" i="1"/>
  <c r="M463" i="1" s="1"/>
  <c r="N462" i="1"/>
  <c r="O461" i="1" s="1"/>
  <c r="W462" i="1" l="1"/>
  <c r="X462" i="1"/>
  <c r="W463" i="1"/>
  <c r="H464" i="1"/>
  <c r="K464" i="1" s="1"/>
  <c r="F465" i="1"/>
  <c r="M464" i="1" s="1"/>
  <c r="N463" i="1"/>
  <c r="O462" i="1" s="1"/>
  <c r="X463" i="1" l="1"/>
  <c r="H465" i="1"/>
  <c r="K465" i="1" s="1"/>
  <c r="F466" i="1"/>
  <c r="M465" i="1" s="1"/>
  <c r="N464" i="1"/>
  <c r="O463" i="1" s="1"/>
  <c r="W464" i="1" l="1"/>
  <c r="W465" i="1" s="1"/>
  <c r="X464" i="1"/>
  <c r="X465" i="1" s="1"/>
  <c r="H466" i="1"/>
  <c r="K466" i="1" s="1"/>
  <c r="F467" i="1"/>
  <c r="M466" i="1" s="1"/>
  <c r="N465" i="1"/>
  <c r="O464" i="1" s="1"/>
  <c r="W466" i="1" l="1"/>
  <c r="X466" i="1"/>
  <c r="H467" i="1"/>
  <c r="K467" i="1" s="1"/>
  <c r="F468" i="1"/>
  <c r="M467" i="1" s="1"/>
  <c r="W467" i="1"/>
  <c r="N466" i="1"/>
  <c r="O465" i="1" s="1"/>
  <c r="X467" i="1" l="1"/>
  <c r="H468" i="1"/>
  <c r="K468" i="1" s="1"/>
  <c r="W468" i="1" s="1"/>
  <c r="F469" i="1"/>
  <c r="M468" i="1" s="1"/>
  <c r="N467" i="1"/>
  <c r="O466" i="1" s="1"/>
  <c r="X468" i="1" l="1"/>
  <c r="H469" i="1"/>
  <c r="K469" i="1" s="1"/>
  <c r="F470" i="1"/>
  <c r="M469" i="1" s="1"/>
  <c r="W469" i="1"/>
  <c r="N468" i="1"/>
  <c r="O467" i="1" s="1"/>
  <c r="X469" i="1" l="1"/>
  <c r="H470" i="1"/>
  <c r="K470" i="1" s="1"/>
  <c r="F471" i="1"/>
  <c r="M470" i="1" s="1"/>
  <c r="W470" i="1"/>
  <c r="N469" i="1"/>
  <c r="O468" i="1" s="1"/>
  <c r="X470" i="1" l="1"/>
  <c r="H471" i="1"/>
  <c r="K471" i="1" s="1"/>
  <c r="F472" i="1"/>
  <c r="M471" i="1" s="1"/>
  <c r="N470" i="1"/>
  <c r="O469" i="1" s="1"/>
  <c r="X471" i="1" l="1"/>
  <c r="W471" i="1"/>
  <c r="H472" i="1"/>
  <c r="K472" i="1" s="1"/>
  <c r="W472" i="1" s="1"/>
  <c r="F473" i="1"/>
  <c r="M472" i="1" s="1"/>
  <c r="N471" i="1"/>
  <c r="O470" i="1" s="1"/>
  <c r="X472" i="1" l="1"/>
  <c r="H473" i="1"/>
  <c r="K473" i="1" s="1"/>
  <c r="F474" i="1"/>
  <c r="M473" i="1" s="1"/>
  <c r="N472" i="1"/>
  <c r="O471" i="1" s="1"/>
  <c r="X473" i="1" l="1"/>
  <c r="W473" i="1"/>
  <c r="H474" i="1"/>
  <c r="K474" i="1" s="1"/>
  <c r="F475" i="1"/>
  <c r="M474" i="1" s="1"/>
  <c r="W474" i="1"/>
  <c r="N473" i="1"/>
  <c r="X474" i="1" l="1"/>
  <c r="H475" i="1"/>
  <c r="K475" i="1" s="1"/>
  <c r="F476" i="1"/>
  <c r="M475" i="1" s="1"/>
  <c r="O472" i="1"/>
  <c r="N474" i="1"/>
  <c r="X475" i="1" l="1"/>
  <c r="W475" i="1"/>
  <c r="H476" i="1"/>
  <c r="K476" i="1" s="1"/>
  <c r="F477" i="1"/>
  <c r="M476" i="1" s="1"/>
  <c r="W476" i="1"/>
  <c r="O473" i="1"/>
  <c r="N475" i="1"/>
  <c r="X476" i="1" l="1"/>
  <c r="H477" i="1"/>
  <c r="K477" i="1" s="1"/>
  <c r="W477" i="1" s="1"/>
  <c r="F478" i="1"/>
  <c r="M477" i="1" s="1"/>
  <c r="O474" i="1"/>
  <c r="N476" i="1"/>
  <c r="X477" i="1" l="1"/>
  <c r="H478" i="1"/>
  <c r="K478" i="1" s="1"/>
  <c r="F479" i="1"/>
  <c r="M478" i="1" s="1"/>
  <c r="W478" i="1"/>
  <c r="O475" i="1"/>
  <c r="N477" i="1"/>
  <c r="X478" i="1" l="1"/>
  <c r="H479" i="1"/>
  <c r="K479" i="1" s="1"/>
  <c r="F480" i="1"/>
  <c r="M479" i="1" s="1"/>
  <c r="O476" i="1"/>
  <c r="N478" i="1"/>
  <c r="X479" i="1" l="1"/>
  <c r="W479" i="1"/>
  <c r="H480" i="1"/>
  <c r="K480" i="1" s="1"/>
  <c r="F481" i="1"/>
  <c r="M480" i="1" s="1"/>
  <c r="W480" i="1"/>
  <c r="O477" i="1"/>
  <c r="N479" i="1"/>
  <c r="X480" i="1" l="1"/>
  <c r="H481" i="1"/>
  <c r="K481" i="1" s="1"/>
  <c r="F482" i="1"/>
  <c r="M481" i="1" s="1"/>
  <c r="O478" i="1"/>
  <c r="N480" i="1"/>
  <c r="X481" i="1" l="1"/>
  <c r="W481" i="1"/>
  <c r="H482" i="1"/>
  <c r="K482" i="1" s="1"/>
  <c r="F483" i="1"/>
  <c r="M482" i="1" s="1"/>
  <c r="W482" i="1"/>
  <c r="O479" i="1"/>
  <c r="N481" i="1"/>
  <c r="X482" i="1" l="1"/>
  <c r="H483" i="1"/>
  <c r="K483" i="1" s="1"/>
  <c r="F484" i="1"/>
  <c r="M483" i="1" s="1"/>
  <c r="O480" i="1"/>
  <c r="N482" i="1"/>
  <c r="X483" i="1" l="1"/>
  <c r="W483" i="1"/>
  <c r="H484" i="1"/>
  <c r="K484" i="1" s="1"/>
  <c r="W484" i="1" s="1"/>
  <c r="F485" i="1"/>
  <c r="M484" i="1" s="1"/>
  <c r="O481" i="1"/>
  <c r="N483" i="1"/>
  <c r="X484" i="1" l="1"/>
  <c r="H485" i="1"/>
  <c r="K485" i="1" s="1"/>
  <c r="F486" i="1"/>
  <c r="M485" i="1" s="1"/>
  <c r="O482" i="1"/>
  <c r="N484" i="1"/>
  <c r="X485" i="1" l="1"/>
  <c r="W485" i="1"/>
  <c r="W486" i="1" s="1"/>
  <c r="H486" i="1"/>
  <c r="K486" i="1" s="1"/>
  <c r="F487" i="1"/>
  <c r="M486" i="1" s="1"/>
  <c r="O483" i="1"/>
  <c r="N485" i="1"/>
  <c r="X486" i="1" l="1"/>
  <c r="H487" i="1"/>
  <c r="K487" i="1" s="1"/>
  <c r="F488" i="1"/>
  <c r="M487" i="1" s="1"/>
  <c r="O484" i="1"/>
  <c r="N486" i="1"/>
  <c r="W487" i="1" l="1"/>
  <c r="X487" i="1"/>
  <c r="H488" i="1"/>
  <c r="K488" i="1" s="1"/>
  <c r="F489" i="1"/>
  <c r="M488" i="1" s="1"/>
  <c r="O485" i="1"/>
  <c r="N487" i="1"/>
  <c r="W488" i="1" l="1"/>
  <c r="X488" i="1"/>
  <c r="H489" i="1"/>
  <c r="K489" i="1" s="1"/>
  <c r="W489" i="1" s="1"/>
  <c r="F490" i="1"/>
  <c r="M489" i="1" s="1"/>
  <c r="O486" i="1"/>
  <c r="N488" i="1"/>
  <c r="X489" i="1" l="1"/>
  <c r="H490" i="1"/>
  <c r="K490" i="1" s="1"/>
  <c r="F491" i="1"/>
  <c r="M490" i="1" s="1"/>
  <c r="W490" i="1"/>
  <c r="O487" i="1"/>
  <c r="N489" i="1"/>
  <c r="X490" i="1" l="1"/>
  <c r="H491" i="1"/>
  <c r="K491" i="1" s="1"/>
  <c r="W491" i="1" s="1"/>
  <c r="F492" i="1"/>
  <c r="M491" i="1" s="1"/>
  <c r="O488" i="1"/>
  <c r="N490" i="1"/>
  <c r="X491" i="1" l="1"/>
  <c r="H492" i="1"/>
  <c r="K492" i="1" s="1"/>
  <c r="W492" i="1" s="1"/>
  <c r="F493" i="1"/>
  <c r="M492" i="1" s="1"/>
  <c r="O489" i="1"/>
  <c r="N491" i="1"/>
  <c r="X492" i="1" l="1"/>
  <c r="H493" i="1"/>
  <c r="K493" i="1" s="1"/>
  <c r="F494" i="1"/>
  <c r="M493" i="1" s="1"/>
  <c r="W493" i="1"/>
  <c r="O490" i="1"/>
  <c r="N492" i="1"/>
  <c r="X493" i="1" l="1"/>
  <c r="H494" i="1"/>
  <c r="K494" i="1" s="1"/>
  <c r="F495" i="1"/>
  <c r="M494" i="1" s="1"/>
  <c r="O491" i="1"/>
  <c r="N493" i="1"/>
  <c r="W494" i="1" l="1"/>
  <c r="X494" i="1"/>
  <c r="H495" i="1"/>
  <c r="K495" i="1" s="1"/>
  <c r="F496" i="1"/>
  <c r="M495" i="1" s="1"/>
  <c r="O492" i="1"/>
  <c r="N494" i="1"/>
  <c r="X495" i="1" l="1"/>
  <c r="W495" i="1"/>
  <c r="H496" i="1"/>
  <c r="K496" i="1" s="1"/>
  <c r="F497" i="1"/>
  <c r="M496" i="1" s="1"/>
  <c r="W496" i="1"/>
  <c r="O493" i="1"/>
  <c r="N495" i="1"/>
  <c r="X496" i="1" l="1"/>
  <c r="H497" i="1"/>
  <c r="K497" i="1" s="1"/>
  <c r="W497" i="1" s="1"/>
  <c r="F498" i="1"/>
  <c r="M497" i="1" s="1"/>
  <c r="O494" i="1"/>
  <c r="N496" i="1"/>
  <c r="X497" i="1" l="1"/>
  <c r="H498" i="1"/>
  <c r="K498" i="1" s="1"/>
  <c r="W498" i="1" s="1"/>
  <c r="F499" i="1"/>
  <c r="M498" i="1" s="1"/>
  <c r="O495" i="1"/>
  <c r="N497" i="1"/>
  <c r="X498" i="1" l="1"/>
  <c r="H499" i="1"/>
  <c r="K499" i="1" s="1"/>
  <c r="F500" i="1"/>
  <c r="M499" i="1" s="1"/>
  <c r="O496" i="1"/>
  <c r="N498" i="1"/>
  <c r="X499" i="1" l="1"/>
  <c r="W499" i="1"/>
  <c r="W500" i="1" s="1"/>
  <c r="H500" i="1"/>
  <c r="K500" i="1" s="1"/>
  <c r="F501" i="1"/>
  <c r="M500" i="1" s="1"/>
  <c r="O497" i="1"/>
  <c r="N499" i="1"/>
  <c r="X500" i="1" l="1"/>
  <c r="H501" i="1"/>
  <c r="K501" i="1" s="1"/>
  <c r="F502" i="1"/>
  <c r="M501" i="1" s="1"/>
  <c r="W501" i="1"/>
  <c r="O498" i="1"/>
  <c r="N500" i="1"/>
  <c r="X501" i="1" l="1"/>
  <c r="H502" i="1"/>
  <c r="K502" i="1" s="1"/>
  <c r="F503" i="1"/>
  <c r="M502" i="1" s="1"/>
  <c r="O499" i="1"/>
  <c r="N501" i="1"/>
  <c r="O500" i="1" s="1"/>
  <c r="W502" i="1" l="1"/>
  <c r="H503" i="1"/>
  <c r="K503" i="1" s="1"/>
  <c r="F504" i="1"/>
  <c r="M503" i="1" s="1"/>
  <c r="N502" i="1"/>
  <c r="O501" i="1" s="1"/>
  <c r="X502" i="1" l="1"/>
  <c r="W503" i="1"/>
  <c r="X503" i="1"/>
  <c r="H504" i="1"/>
  <c r="K504" i="1" s="1"/>
  <c r="F505" i="1"/>
  <c r="M504" i="1" s="1"/>
  <c r="W504" i="1"/>
  <c r="N503" i="1"/>
  <c r="O502" i="1" s="1"/>
  <c r="X504" i="1" l="1"/>
  <c r="H505" i="1"/>
  <c r="K505" i="1" s="1"/>
  <c r="F506" i="1"/>
  <c r="M505" i="1" s="1"/>
  <c r="N504" i="1"/>
  <c r="O503" i="1" s="1"/>
  <c r="X505" i="1" l="1"/>
  <c r="W505" i="1"/>
  <c r="H506" i="1"/>
  <c r="K506" i="1" s="1"/>
  <c r="F507" i="1"/>
  <c r="M506" i="1" s="1"/>
  <c r="N505" i="1"/>
  <c r="O504" i="1" s="1"/>
  <c r="X506" i="1" l="1"/>
  <c r="W506" i="1"/>
  <c r="W507" i="1" s="1"/>
  <c r="H507" i="1"/>
  <c r="K507" i="1" s="1"/>
  <c r="F508" i="1"/>
  <c r="M507" i="1" s="1"/>
  <c r="N506" i="1"/>
  <c r="O505" i="1" s="1"/>
  <c r="X507" i="1" l="1"/>
  <c r="H508" i="1"/>
  <c r="K508" i="1" s="1"/>
  <c r="F509" i="1"/>
  <c r="M508" i="1" s="1"/>
  <c r="N507" i="1"/>
  <c r="O506" i="1" s="1"/>
  <c r="X508" i="1" l="1"/>
  <c r="W508" i="1"/>
  <c r="H509" i="1"/>
  <c r="K509" i="1" s="1"/>
  <c r="F510" i="1"/>
  <c r="M509" i="1" s="1"/>
  <c r="N508" i="1"/>
  <c r="O507" i="1" s="1"/>
  <c r="W509" i="1" l="1"/>
  <c r="H510" i="1"/>
  <c r="K510" i="1" s="1"/>
  <c r="F511" i="1"/>
  <c r="M510" i="1" s="1"/>
  <c r="W510" i="1"/>
  <c r="N509" i="1"/>
  <c r="O508" i="1" s="1"/>
  <c r="X510" i="1" l="1"/>
  <c r="X509" i="1"/>
  <c r="H511" i="1"/>
  <c r="K511" i="1" s="1"/>
  <c r="F512" i="1"/>
  <c r="M511" i="1" s="1"/>
  <c r="W511" i="1"/>
  <c r="N510" i="1"/>
  <c r="O509" i="1" s="1"/>
  <c r="X511" i="1" l="1"/>
  <c r="H512" i="1"/>
  <c r="K512" i="1" s="1"/>
  <c r="F513" i="1"/>
  <c r="M512" i="1" s="1"/>
  <c r="W512" i="1"/>
  <c r="N511" i="1"/>
  <c r="O510" i="1" s="1"/>
  <c r="X512" i="1" l="1"/>
  <c r="H513" i="1"/>
  <c r="K513" i="1" s="1"/>
  <c r="W513" i="1" s="1"/>
  <c r="F514" i="1"/>
  <c r="M513" i="1" s="1"/>
  <c r="N512" i="1"/>
  <c r="O511" i="1" s="1"/>
  <c r="X513" i="1" l="1"/>
  <c r="H514" i="1"/>
  <c r="K514" i="1" s="1"/>
  <c r="F515" i="1"/>
  <c r="M514" i="1" s="1"/>
  <c r="W514" i="1"/>
  <c r="N513" i="1"/>
  <c r="O512" i="1" s="1"/>
  <c r="X514" i="1" l="1"/>
  <c r="H515" i="1"/>
  <c r="K515" i="1" s="1"/>
  <c r="F516" i="1"/>
  <c r="M515" i="1" s="1"/>
  <c r="W515" i="1"/>
  <c r="N514" i="1"/>
  <c r="O513" i="1" s="1"/>
  <c r="X515" i="1" l="1"/>
  <c r="H516" i="1"/>
  <c r="K516" i="1" s="1"/>
  <c r="F517" i="1"/>
  <c r="M516" i="1" s="1"/>
  <c r="W516" i="1"/>
  <c r="N515" i="1"/>
  <c r="O514" i="1" s="1"/>
  <c r="X516" i="1" l="1"/>
  <c r="H517" i="1"/>
  <c r="K517" i="1" s="1"/>
  <c r="W517" i="1" s="1"/>
  <c r="F518" i="1"/>
  <c r="M517" i="1" s="1"/>
  <c r="N516" i="1"/>
  <c r="O515" i="1" s="1"/>
  <c r="X517" i="1" l="1"/>
  <c r="H518" i="1"/>
  <c r="K518" i="1" s="1"/>
  <c r="W518" i="1" s="1"/>
  <c r="F519" i="1"/>
  <c r="M518" i="1" s="1"/>
  <c r="N517" i="1"/>
  <c r="O516" i="1" s="1"/>
  <c r="X518" i="1" l="1"/>
  <c r="H519" i="1"/>
  <c r="K519" i="1" s="1"/>
  <c r="F520" i="1"/>
  <c r="M519" i="1" s="1"/>
  <c r="N518" i="1"/>
  <c r="O517" i="1" s="1"/>
  <c r="X519" i="1" l="1"/>
  <c r="W519" i="1"/>
  <c r="H520" i="1"/>
  <c r="K520" i="1" s="1"/>
  <c r="F521" i="1"/>
  <c r="M520" i="1" s="1"/>
  <c r="N519" i="1"/>
  <c r="O518" i="1" s="1"/>
  <c r="H521" i="1" l="1"/>
  <c r="K521" i="1" s="1"/>
  <c r="F522" i="1"/>
  <c r="M521" i="1" s="1"/>
  <c r="N520" i="1"/>
  <c r="O519" i="1" s="1"/>
  <c r="X520" i="1" l="1"/>
  <c r="X521" i="1" s="1"/>
  <c r="W520" i="1"/>
  <c r="W521" i="1" s="1"/>
  <c r="H522" i="1"/>
  <c r="K522" i="1" s="1"/>
  <c r="F523" i="1"/>
  <c r="N521" i="1"/>
  <c r="O520" i="1" s="1"/>
  <c r="L11" i="1"/>
  <c r="AB15" i="1" l="1"/>
  <c r="L15" i="1"/>
  <c r="X522" i="1"/>
  <c r="W522" i="1"/>
  <c r="F524" i="1"/>
  <c r="M523" i="1" s="1"/>
  <c r="M522" i="1"/>
  <c r="L6" i="1"/>
  <c r="H523" i="1"/>
  <c r="K523" i="1" s="1"/>
  <c r="N522" i="1"/>
  <c r="O521" i="1" s="1"/>
  <c r="AB11" i="1"/>
  <c r="M14" i="1" l="1" a="1"/>
  <c r="M14" i="1" s="1"/>
  <c r="L14" i="1" s="1" a="1"/>
  <c r="L14" i="1" s="1"/>
  <c r="AC14" i="1" a="1"/>
  <c r="AC14" i="1" s="1"/>
  <c r="AB14" i="1" s="1" a="1"/>
  <c r="AB14" i="1" s="1"/>
  <c r="AB6" i="1"/>
  <c r="L18" i="1"/>
  <c r="AB20" i="1" s="1"/>
  <c r="X523" i="1"/>
  <c r="L12" i="1" s="1"/>
  <c r="N523" i="1"/>
  <c r="AB18" i="1" l="1"/>
  <c r="L20" i="1"/>
  <c r="L7" i="1"/>
  <c r="W523" i="1"/>
  <c r="AB12" i="1" s="1"/>
  <c r="O523" i="1"/>
  <c r="O522" i="1"/>
  <c r="R24" i="1" l="1"/>
  <c r="V24" i="1" s="1"/>
  <c r="Q24" i="1" a="1"/>
  <c r="Q24" i="1" s="1"/>
  <c r="T24" i="1" s="1"/>
  <c r="R40" i="1"/>
  <c r="V40" i="1" s="1"/>
  <c r="L8" i="1"/>
  <c r="L9" i="1" s="1"/>
  <c r="AB8" i="1"/>
  <c r="AB9" i="1" s="1"/>
  <c r="Q28" i="1"/>
  <c r="T28" i="1" s="1"/>
  <c r="Q29" i="1"/>
  <c r="T29" i="1" s="1"/>
  <c r="R43" i="1"/>
  <c r="V43" i="1" s="1"/>
  <c r="Q37" i="1"/>
  <c r="T37" i="1" s="1"/>
  <c r="Q40" i="1"/>
  <c r="T40" i="1" s="1"/>
  <c r="R33" i="1"/>
  <c r="V33" i="1" s="1"/>
  <c r="Q25" i="1"/>
  <c r="T25" i="1" s="1"/>
  <c r="Q32" i="1"/>
  <c r="T32" i="1" s="1"/>
  <c r="Q35" i="1"/>
  <c r="T35" i="1" s="1"/>
  <c r="Q39" i="1"/>
  <c r="T39" i="1" s="1"/>
  <c r="Q42" i="1"/>
  <c r="T42" i="1" s="1"/>
  <c r="Q43" i="1"/>
  <c r="T43" i="1" s="1"/>
  <c r="R34" i="1"/>
  <c r="V34" i="1" s="1"/>
  <c r="Q27" i="1"/>
  <c r="T27" i="1" s="1"/>
  <c r="Q38" i="1"/>
  <c r="T38" i="1" s="1"/>
  <c r="Q36" i="1"/>
  <c r="T36" i="1" s="1"/>
  <c r="Q34" i="1"/>
  <c r="T34" i="1" s="1"/>
  <c r="Q26" i="1"/>
  <c r="T26" i="1" s="1"/>
  <c r="Q30" i="1"/>
  <c r="T30" i="1" s="1"/>
  <c r="Q33" i="1"/>
  <c r="T33" i="1" s="1"/>
  <c r="Q41" i="1"/>
  <c r="T41" i="1" s="1"/>
  <c r="Q31" i="1"/>
  <c r="T31" i="1" s="1"/>
  <c r="R39" i="1"/>
  <c r="V39" i="1" s="1"/>
  <c r="R37" i="1"/>
  <c r="V37" i="1" s="1"/>
  <c r="R41" i="1"/>
  <c r="V41" i="1" s="1"/>
  <c r="R27" i="1"/>
  <c r="V27" i="1" s="1"/>
  <c r="R31" i="1"/>
  <c r="V31" i="1" s="1"/>
  <c r="R38" i="1"/>
  <c r="V38" i="1" s="1"/>
  <c r="R29" i="1"/>
  <c r="V29" i="1" s="1"/>
  <c r="R25" i="1"/>
  <c r="V25" i="1" s="1"/>
  <c r="R26" i="1"/>
  <c r="V26" i="1" s="1"/>
  <c r="R42" i="1"/>
  <c r="V42" i="1" s="1"/>
  <c r="R30" i="1"/>
  <c r="V30" i="1" s="1"/>
  <c r="R36" i="1"/>
  <c r="V36" i="1" s="1"/>
  <c r="R32" i="1"/>
  <c r="V32" i="1" s="1"/>
  <c r="R28" i="1"/>
  <c r="V28" i="1" s="1"/>
  <c r="R35" i="1"/>
  <c r="V35" i="1" s="1"/>
  <c r="R46" i="1"/>
  <c r="V46" i="1" s="1"/>
  <c r="R48" i="1"/>
  <c r="V48" i="1" s="1"/>
  <c r="R44" i="1"/>
  <c r="V44" i="1" s="1"/>
  <c r="R47" i="1"/>
  <c r="V47" i="1" s="1"/>
  <c r="R45" i="1"/>
  <c r="V45" i="1" s="1"/>
  <c r="Q47" i="1"/>
  <c r="T47" i="1" s="1"/>
  <c r="Q45" i="1"/>
  <c r="T45" i="1" s="1"/>
  <c r="Q48" i="1"/>
  <c r="T48" i="1" s="1"/>
  <c r="Q46" i="1"/>
  <c r="T46" i="1" s="1"/>
  <c r="Q44" i="1"/>
  <c r="T44" i="1" s="1"/>
</calcChain>
</file>

<file path=xl/comments1.xml><?xml version="1.0" encoding="utf-8"?>
<comments xmlns="http://schemas.openxmlformats.org/spreadsheetml/2006/main">
  <authors>
    <author>Dow-Boy</author>
    <author>John</author>
    <author>User</author>
  </authors>
  <commentList>
    <comment ref="B2" authorId="0" shapeId="0">
      <text>
        <r>
          <rPr>
            <u/>
            <sz val="8"/>
            <color indexed="10"/>
            <rFont val="Tahoma"/>
            <family val="2"/>
          </rPr>
          <t>NOTE:</t>
        </r>
        <r>
          <rPr>
            <sz val="8"/>
            <color indexed="10"/>
            <rFont val="Tahoma"/>
            <family val="2"/>
          </rPr>
          <t xml:space="preserve"> </t>
        </r>
        <r>
          <rPr>
            <sz val="8"/>
            <color indexed="53"/>
            <rFont val="Tahoma"/>
            <family val="2"/>
          </rPr>
          <t xml:space="preserve"> This Is A "Random.ORG" Expectancy Simulation Trading Calculator. Enter Your Trading Details Below, Then Press</t>
        </r>
        <r>
          <rPr>
            <sz val="8"/>
            <color indexed="53"/>
            <rFont val="Tahoma"/>
            <family val="2"/>
          </rPr>
          <t xml:space="preserve"> The "Calculate" Button.
 You'll Get An Idea Of The Effect On Your Account Equity, Based  Upon </t>
        </r>
        <r>
          <rPr>
            <sz val="8"/>
            <color indexed="9"/>
            <rFont val="Tahoma"/>
            <family val="2"/>
          </rPr>
          <t>500</t>
        </r>
        <r>
          <rPr>
            <sz val="8"/>
            <color indexed="53"/>
            <rFont val="Tahoma"/>
            <family val="2"/>
          </rPr>
          <t xml:space="preserve"> Random Trades.
To Clear All Data Use The </t>
        </r>
        <r>
          <rPr>
            <sz val="8"/>
            <color indexed="9"/>
            <rFont val="Tahoma"/>
            <family val="2"/>
          </rPr>
          <t>"CLEAR ALL DATA"</t>
        </r>
        <r>
          <rPr>
            <sz val="8"/>
            <color indexed="53"/>
            <rFont val="Tahoma"/>
            <family val="2"/>
          </rPr>
          <t xml:space="preserve">  Macro Button Below.</t>
        </r>
      </text>
    </comment>
    <comment ref="J5" authorId="1" shapeId="0">
      <text>
        <r>
          <rPr>
            <b/>
            <sz val="8"/>
            <color indexed="53"/>
            <rFont val="Tahoma"/>
            <family val="2"/>
          </rPr>
          <t xml:space="preserve">
</t>
        </r>
        <r>
          <rPr>
            <sz val="8"/>
            <color indexed="53"/>
            <rFont val="Tahoma"/>
            <family val="2"/>
          </rPr>
          <t xml:space="preserve">This Is Your Total Number Of Losing Trades Within The </t>
        </r>
        <r>
          <rPr>
            <u/>
            <sz val="8"/>
            <color indexed="9"/>
            <rFont val="Tahoma"/>
            <family val="2"/>
          </rPr>
          <t>500</t>
        </r>
        <r>
          <rPr>
            <sz val="8"/>
            <color indexed="53"/>
            <rFont val="Tahoma"/>
            <family val="2"/>
          </rPr>
          <t xml:space="preserve"> Trade Simulation</t>
        </r>
        <r>
          <rPr>
            <b/>
            <sz val="8"/>
            <color indexed="53"/>
            <rFont val="Tahoma"/>
            <family val="2"/>
          </rPr>
          <t xml:space="preserve">
</t>
        </r>
      </text>
    </comment>
    <comment ref="Z5" authorId="1" shapeId="0">
      <text>
        <r>
          <rPr>
            <sz val="8"/>
            <color indexed="53"/>
            <rFont val="Tahoma"/>
            <family val="2"/>
          </rPr>
          <t xml:space="preserve">This Is Your Total Number Of Winning Trades Within The </t>
        </r>
        <r>
          <rPr>
            <u/>
            <sz val="8"/>
            <color indexed="9"/>
            <rFont val="Tahoma"/>
            <family val="2"/>
          </rPr>
          <t>500</t>
        </r>
        <r>
          <rPr>
            <sz val="8"/>
            <color indexed="53"/>
            <rFont val="Tahoma"/>
            <family val="2"/>
          </rPr>
          <t xml:space="preserve"> Trade Simulation</t>
        </r>
      </text>
    </comment>
    <comment ref="E6" authorId="1" shapeId="0">
      <text>
        <r>
          <rPr>
            <sz val="8"/>
            <color indexed="10"/>
            <rFont val="Tahoma"/>
            <family val="2"/>
          </rPr>
          <t>START HERE:</t>
        </r>
        <r>
          <rPr>
            <b/>
            <sz val="8"/>
            <color indexed="53"/>
            <rFont val="Tahoma"/>
            <family val="2"/>
          </rPr>
          <t xml:space="preserve">
</t>
        </r>
        <r>
          <rPr>
            <sz val="8"/>
            <color indexed="53"/>
            <rFont val="Tahoma"/>
            <family val="2"/>
          </rPr>
          <t>Enter Your Starting Capital Amount, IE: If You Account Equity Is £10,000, Enter 10,000</t>
        </r>
      </text>
    </comment>
    <comment ref="J6" authorId="1" shapeId="0">
      <text>
        <r>
          <rPr>
            <sz val="8"/>
            <color indexed="53"/>
            <rFont val="Tahoma"/>
            <family val="2"/>
          </rPr>
          <t xml:space="preserve">This Is Your Cumulative Total Amount Of Losses In </t>
        </r>
        <r>
          <rPr>
            <u/>
            <sz val="8"/>
            <color indexed="9"/>
            <rFont val="Tahoma"/>
            <family val="2"/>
          </rPr>
          <t>£'s</t>
        </r>
        <r>
          <rPr>
            <sz val="8"/>
            <color indexed="53"/>
            <rFont val="Tahoma"/>
            <family val="2"/>
          </rPr>
          <t xml:space="preserve"> For The </t>
        </r>
        <r>
          <rPr>
            <u/>
            <sz val="8"/>
            <color indexed="9"/>
            <rFont val="Tahoma"/>
            <family val="2"/>
          </rPr>
          <t>500</t>
        </r>
        <r>
          <rPr>
            <sz val="8"/>
            <color indexed="53"/>
            <rFont val="Tahoma"/>
            <family val="2"/>
          </rPr>
          <t xml:space="preserve"> Random Trade Simulation</t>
        </r>
      </text>
    </comment>
    <comment ref="Z6" authorId="1" shapeId="0">
      <text>
        <r>
          <rPr>
            <sz val="8"/>
            <color indexed="53"/>
            <rFont val="Tahoma"/>
            <family val="2"/>
          </rPr>
          <t xml:space="preserve">This Is Your Cumulative Total Amount Of Winnings  In </t>
        </r>
        <r>
          <rPr>
            <u/>
            <sz val="8"/>
            <color indexed="9"/>
            <rFont val="Tahoma"/>
            <family val="2"/>
          </rPr>
          <t>£'s</t>
        </r>
        <r>
          <rPr>
            <sz val="8"/>
            <color indexed="53"/>
            <rFont val="Tahoma"/>
            <family val="2"/>
          </rPr>
          <t xml:space="preserve"> For The </t>
        </r>
        <r>
          <rPr>
            <u/>
            <sz val="8"/>
            <color indexed="9"/>
            <rFont val="Tahoma"/>
            <family val="2"/>
          </rPr>
          <t>500</t>
        </r>
        <r>
          <rPr>
            <sz val="8"/>
            <color indexed="53"/>
            <rFont val="Tahoma"/>
            <family val="2"/>
          </rPr>
          <t xml:space="preserve"> Random Trade Simulation</t>
        </r>
      </text>
    </comment>
    <comment ref="E7" authorId="2" shapeId="0">
      <text>
        <r>
          <rPr>
            <sz val="8"/>
            <color indexed="53"/>
            <rFont val="Tahoma"/>
            <family val="2"/>
          </rPr>
          <t>Type In The</t>
        </r>
        <r>
          <rPr>
            <sz val="8"/>
            <color indexed="10"/>
            <rFont val="Tahoma"/>
            <family val="2"/>
          </rPr>
          <t xml:space="preserve"> </t>
        </r>
        <r>
          <rPr>
            <sz val="8"/>
            <color indexed="9"/>
            <rFont val="Tahoma"/>
            <family val="2"/>
          </rPr>
          <t>%</t>
        </r>
        <r>
          <rPr>
            <sz val="8"/>
            <color indexed="53"/>
            <rFont val="Tahoma"/>
            <family val="2"/>
          </rPr>
          <t xml:space="preserve"> Of Total "Account Capital" That You Normally Risk Per Trade. 
Risk Adverse Traders Might Risk In The Region Of </t>
        </r>
        <r>
          <rPr>
            <sz val="8"/>
            <color indexed="9"/>
            <rFont val="Tahoma"/>
            <family val="2"/>
          </rPr>
          <t xml:space="preserve">0.5% </t>
        </r>
        <r>
          <rPr>
            <sz val="8"/>
            <color indexed="53"/>
            <rFont val="Tahoma"/>
            <family val="2"/>
          </rPr>
          <t xml:space="preserve">Experienced Or Higher Risk Traders Max between </t>
        </r>
        <r>
          <rPr>
            <sz val="8"/>
            <color indexed="9"/>
            <rFont val="Tahoma"/>
            <family val="2"/>
          </rPr>
          <t xml:space="preserve">3-5%
</t>
        </r>
        <r>
          <rPr>
            <sz val="8"/>
            <color indexed="53"/>
            <rFont val="Tahoma"/>
            <family val="2"/>
          </rPr>
          <t xml:space="preserve">Whatever Risk </t>
        </r>
        <r>
          <rPr>
            <sz val="8"/>
            <color indexed="9"/>
            <rFont val="Tahoma"/>
            <family val="2"/>
          </rPr>
          <t>%</t>
        </r>
        <r>
          <rPr>
            <sz val="8"/>
            <color indexed="53"/>
            <rFont val="Tahoma"/>
            <family val="2"/>
          </rPr>
          <t xml:space="preserve"> You Enter, It Will Be Accounted For On Each Consecutive Trade In The Simulation, With New Amounts Being Allocated To Each Trade Based On This Initial </t>
        </r>
        <r>
          <rPr>
            <sz val="8"/>
            <color indexed="9"/>
            <rFont val="Tahoma"/>
            <family val="2"/>
          </rPr>
          <t>%</t>
        </r>
      </text>
    </comment>
    <comment ref="J7" authorId="1" shapeId="0">
      <text>
        <r>
          <rPr>
            <sz val="8"/>
            <color indexed="53"/>
            <rFont val="Tahoma"/>
            <family val="2"/>
          </rPr>
          <t xml:space="preserve"> Your Total Losses Depicted As A  </t>
        </r>
        <r>
          <rPr>
            <u/>
            <sz val="8"/>
            <color indexed="9"/>
            <rFont val="Tahoma"/>
            <family val="2"/>
          </rPr>
          <t>%</t>
        </r>
        <r>
          <rPr>
            <sz val="8"/>
            <color indexed="9"/>
            <rFont val="Tahoma"/>
            <family val="2"/>
          </rPr>
          <t xml:space="preserve"> </t>
        </r>
        <r>
          <rPr>
            <sz val="8"/>
            <color indexed="53"/>
            <rFont val="Tahoma"/>
            <family val="2"/>
          </rPr>
          <t xml:space="preserve">For The </t>
        </r>
        <r>
          <rPr>
            <u/>
            <sz val="8"/>
            <color indexed="9"/>
            <rFont val="Tahoma"/>
            <family val="2"/>
          </rPr>
          <t>500</t>
        </r>
        <r>
          <rPr>
            <sz val="8"/>
            <color indexed="53"/>
            <rFont val="Tahoma"/>
            <family val="2"/>
          </rPr>
          <t xml:space="preserve"> Trade Simulation</t>
        </r>
      </text>
    </comment>
    <comment ref="Z7" authorId="1" shapeId="0">
      <text>
        <r>
          <rPr>
            <sz val="8"/>
            <color indexed="53"/>
            <rFont val="Tahoma"/>
            <family val="2"/>
          </rPr>
          <t xml:space="preserve">Your Total Wins Depicted As A  </t>
        </r>
        <r>
          <rPr>
            <u/>
            <sz val="8"/>
            <color indexed="9"/>
            <rFont val="Tahoma"/>
            <family val="2"/>
          </rPr>
          <t>%</t>
        </r>
        <r>
          <rPr>
            <sz val="8"/>
            <color indexed="53"/>
            <rFont val="Tahoma"/>
            <family val="2"/>
          </rPr>
          <t xml:space="preserve"> For The </t>
        </r>
        <r>
          <rPr>
            <u/>
            <sz val="8"/>
            <color indexed="9"/>
            <rFont val="Tahoma"/>
            <family val="2"/>
          </rPr>
          <t>500</t>
        </r>
        <r>
          <rPr>
            <sz val="8"/>
            <color indexed="53"/>
            <rFont val="Tahoma"/>
            <family val="2"/>
          </rPr>
          <t xml:space="preserve"> Trade Simulation</t>
        </r>
      </text>
    </comment>
    <comment ref="E8" authorId="2" shapeId="0">
      <text>
        <r>
          <rPr>
            <sz val="8"/>
            <color indexed="53"/>
            <rFont val="Tahoma"/>
            <family val="2"/>
          </rPr>
          <t xml:space="preserve">Type in your current Win </t>
        </r>
        <r>
          <rPr>
            <sz val="8"/>
            <color indexed="9"/>
            <rFont val="Tahoma"/>
            <family val="2"/>
          </rPr>
          <t>%</t>
        </r>
        <r>
          <rPr>
            <sz val="8"/>
            <color indexed="53"/>
            <rFont val="Tahoma"/>
            <family val="2"/>
          </rPr>
          <t xml:space="preserve"> From Your Trading Log / Records
(Success Percentage)
</t>
        </r>
        <r>
          <rPr>
            <sz val="8"/>
            <color indexed="10"/>
            <rFont val="Tahoma"/>
            <family val="2"/>
          </rPr>
          <t xml:space="preserve">**********NOTE**********
</t>
        </r>
        <r>
          <rPr>
            <sz val="8"/>
            <color indexed="53"/>
            <rFont val="Tahoma"/>
            <family val="2"/>
          </rPr>
          <t xml:space="preserve">The Win </t>
        </r>
        <r>
          <rPr>
            <sz val="8"/>
            <color indexed="9"/>
            <rFont val="Tahoma"/>
            <family val="2"/>
          </rPr>
          <t>%</t>
        </r>
        <r>
          <rPr>
            <sz val="8"/>
            <color indexed="53"/>
            <rFont val="Tahoma"/>
            <family val="2"/>
          </rPr>
          <t xml:space="preserve"> In Isolation Is Virtually Meaningless, One Must Take Into Account The Payoff Ratio As Well In Order To Asertain Your Systems "EXPECTANCY" Over Time</t>
        </r>
      </text>
    </comment>
    <comment ref="J8" authorId="1" shapeId="0">
      <text>
        <r>
          <rPr>
            <sz val="8"/>
            <color indexed="53"/>
            <rFont val="Tahoma"/>
            <family val="2"/>
          </rPr>
          <t xml:space="preserve">This Is Your Average Trade Loss In </t>
        </r>
        <r>
          <rPr>
            <u/>
            <sz val="8"/>
            <color indexed="9"/>
            <rFont val="Tahoma"/>
            <family val="2"/>
          </rPr>
          <t>£'s</t>
        </r>
        <r>
          <rPr>
            <sz val="8"/>
            <color indexed="53"/>
            <rFont val="Tahoma"/>
            <family val="2"/>
          </rPr>
          <t xml:space="preserve">. Basically Your Total No. Of Losses In </t>
        </r>
        <r>
          <rPr>
            <u/>
            <sz val="8"/>
            <color indexed="9"/>
            <rFont val="Tahoma"/>
            <family val="2"/>
          </rPr>
          <t>£'s</t>
        </r>
        <r>
          <rPr>
            <sz val="8"/>
            <color indexed="9"/>
            <rFont val="Tahoma"/>
            <family val="2"/>
          </rPr>
          <t xml:space="preserve"> </t>
        </r>
        <r>
          <rPr>
            <sz val="8"/>
            <color indexed="53"/>
            <rFont val="Tahoma"/>
            <family val="2"/>
          </rPr>
          <t xml:space="preserve"> Divided By Your Total Number Of losing Trades</t>
        </r>
      </text>
    </comment>
    <comment ref="Z8" authorId="1" shapeId="0">
      <text>
        <r>
          <rPr>
            <sz val="8"/>
            <color indexed="53"/>
            <rFont val="Tahoma"/>
            <family val="2"/>
          </rPr>
          <t xml:space="preserve">This Is Your Average Trade Win In </t>
        </r>
        <r>
          <rPr>
            <u/>
            <sz val="8"/>
            <color indexed="9"/>
            <rFont val="Tahoma"/>
            <family val="2"/>
          </rPr>
          <t>£'s</t>
        </r>
        <r>
          <rPr>
            <sz val="8"/>
            <color indexed="53"/>
            <rFont val="Tahoma"/>
            <family val="2"/>
          </rPr>
          <t xml:space="preserve">. Basically Your Total No. Of Winners In </t>
        </r>
        <r>
          <rPr>
            <u/>
            <sz val="8"/>
            <color indexed="9"/>
            <rFont val="Tahoma"/>
            <family val="2"/>
          </rPr>
          <t>£'s</t>
        </r>
        <r>
          <rPr>
            <sz val="8"/>
            <color indexed="53"/>
            <rFont val="Tahoma"/>
            <family val="2"/>
          </rPr>
          <t xml:space="preserve"> Divided By Your Total Number Of Winning Trades</t>
        </r>
      </text>
    </comment>
    <comment ref="E9" authorId="2" shapeId="0">
      <text>
        <r>
          <rPr>
            <sz val="8"/>
            <color indexed="10"/>
            <rFont val="Tahoma"/>
            <family val="2"/>
          </rPr>
          <t>(</t>
        </r>
        <r>
          <rPr>
            <i/>
            <sz val="8"/>
            <color indexed="10"/>
            <rFont val="Tahoma"/>
            <family val="2"/>
          </rPr>
          <t>AVG Wins) / (AVG Losses)</t>
        </r>
        <r>
          <rPr>
            <sz val="8"/>
            <color indexed="53"/>
            <rFont val="Tahoma"/>
            <family val="2"/>
          </rPr>
          <t xml:space="preserve">
The Payoff Ratio Is Simply The System's Average Profit Per Trade Divided By The Average Loss Per Trade.
</t>
        </r>
        <r>
          <rPr>
            <sz val="8"/>
            <color indexed="10"/>
            <rFont val="Tahoma"/>
            <family val="2"/>
          </rPr>
          <t>**********NOTE**********</t>
        </r>
        <r>
          <rPr>
            <sz val="8"/>
            <color indexed="53"/>
            <rFont val="Tahoma"/>
            <family val="2"/>
          </rPr>
          <t xml:space="preserve">
In Isolation, The Payoff Ratio (Without Taking Into Account Your Win Rate (Winning </t>
        </r>
        <r>
          <rPr>
            <sz val="8"/>
            <color indexed="9"/>
            <rFont val="Tahoma"/>
            <family val="2"/>
          </rPr>
          <t>%</t>
        </r>
        <r>
          <rPr>
            <sz val="8"/>
            <color indexed="53"/>
            <rFont val="Tahoma"/>
            <family val="2"/>
          </rPr>
          <t xml:space="preserve">) Is Practically Meaningless). :-(
</t>
        </r>
        <r>
          <rPr>
            <sz val="8"/>
            <color indexed="10"/>
            <rFont val="Tahoma"/>
            <family val="2"/>
          </rPr>
          <t xml:space="preserve">**********NOTE**********
</t>
        </r>
        <r>
          <rPr>
            <sz val="8"/>
            <color indexed="53"/>
            <rFont val="Tahoma"/>
            <family val="2"/>
          </rPr>
          <t xml:space="preserve">You Need To Take Into Account All 5 Of These Yellow Cells In Order To Asertain Your Systems 'Probable/Possible' Expected Return Over The </t>
        </r>
        <r>
          <rPr>
            <sz val="8"/>
            <color indexed="9"/>
            <rFont val="Tahoma"/>
            <family val="2"/>
          </rPr>
          <t>500</t>
        </r>
        <r>
          <rPr>
            <sz val="8"/>
            <color indexed="53"/>
            <rFont val="Tahoma"/>
            <family val="2"/>
          </rPr>
          <t xml:space="preserve"> Random Trade Distribution
</t>
        </r>
        <r>
          <rPr>
            <sz val="8"/>
            <color indexed="10"/>
            <rFont val="Tahoma"/>
            <family val="2"/>
          </rPr>
          <t>**********NOTE**********</t>
        </r>
        <r>
          <rPr>
            <sz val="8"/>
            <color indexed="53"/>
            <rFont val="Tahoma"/>
            <family val="2"/>
          </rPr>
          <t xml:space="preserve">
If You Don't Have Trading Logs/Statistics To Refer To Yet, Enter Your Theoretical Average </t>
        </r>
        <r>
          <rPr>
            <sz val="8"/>
            <color indexed="9"/>
            <rFont val="Tahoma"/>
            <family val="2"/>
          </rPr>
          <t>Risk To Reward Ratio</t>
        </r>
        <r>
          <rPr>
            <sz val="8"/>
            <color indexed="53"/>
            <rFont val="Tahoma"/>
            <family val="2"/>
          </rPr>
          <t xml:space="preserve">.
==============================================
Definition of 'Risk/Reward Ratio'
A Ratio Used By Many Investors To Compare The Expected Returns Of An Investment To The Amount Of Risk Undertaken To Capture These Returns. This Ratio Is Calculated Mathematically By Dividing The Amount Of Profit The Trader Expects To Have Made When The Position Is Closed (I.E. The Reward) By The Amount He Or She Stands To Lose If Price Moves In The Unexpected Direction (I.E. The Risk).
http://www.investopedia.com/terms/r/riskrewardratio.asp
</t>
        </r>
        <r>
          <rPr>
            <sz val="8"/>
            <color indexed="10"/>
            <rFont val="Tahoma"/>
            <family val="2"/>
          </rPr>
          <t>Example:</t>
        </r>
        <r>
          <rPr>
            <sz val="8"/>
            <color indexed="53"/>
            <rFont val="Tahoma"/>
            <family val="2"/>
          </rPr>
          <t xml:space="preserve">
</t>
        </r>
        <r>
          <rPr>
            <sz val="8"/>
            <color indexed="9"/>
            <rFont val="Tahoma"/>
            <family val="2"/>
          </rPr>
          <t>2:1</t>
        </r>
        <r>
          <rPr>
            <sz val="8"/>
            <color indexed="53"/>
            <rFont val="Tahoma"/>
            <family val="2"/>
          </rPr>
          <t xml:space="preserve"> Risk/Reward Ratio Means;
If You Risk </t>
        </r>
        <r>
          <rPr>
            <sz val="8"/>
            <color indexed="9"/>
            <rFont val="Tahoma"/>
            <family val="2"/>
          </rPr>
          <t>£100</t>
        </r>
        <r>
          <rPr>
            <sz val="8"/>
            <color indexed="53"/>
            <rFont val="Tahoma"/>
            <family val="2"/>
          </rPr>
          <t xml:space="preserve"> (</t>
        </r>
        <r>
          <rPr>
            <sz val="8"/>
            <color indexed="9"/>
            <rFont val="Tahoma"/>
            <family val="2"/>
          </rPr>
          <t>£100</t>
        </r>
        <r>
          <rPr>
            <sz val="8"/>
            <color indexed="53"/>
            <rFont val="Tahoma"/>
            <family val="2"/>
          </rPr>
          <t xml:space="preserve"> Possible Loss) On A Trade, Your Expected Reward Is </t>
        </r>
        <r>
          <rPr>
            <sz val="8"/>
            <color indexed="9"/>
            <rFont val="Tahoma"/>
            <family val="2"/>
          </rPr>
          <t>£200</t>
        </r>
        <r>
          <rPr>
            <sz val="8"/>
            <color indexed="53"/>
            <rFont val="Tahoma"/>
            <family val="2"/>
          </rPr>
          <t xml:space="preserve"> (</t>
        </r>
        <r>
          <rPr>
            <sz val="8"/>
            <color indexed="9"/>
            <rFont val="Tahoma"/>
            <family val="2"/>
          </rPr>
          <t xml:space="preserve">£200 </t>
        </r>
        <r>
          <rPr>
            <sz val="8"/>
            <color indexed="53"/>
            <rFont val="Tahoma"/>
            <family val="2"/>
          </rPr>
          <t xml:space="preserve">Of Possible Profit) Per Trade. So In This Example You Would Enter: 2 In The Yellow Cell
=============================================
</t>
        </r>
        <r>
          <rPr>
            <sz val="8"/>
            <color indexed="10"/>
            <rFont val="Tahoma"/>
            <family val="2"/>
          </rPr>
          <t>Example 2:</t>
        </r>
        <r>
          <rPr>
            <sz val="8"/>
            <color indexed="53"/>
            <rFont val="Tahoma"/>
            <family val="2"/>
          </rPr>
          <t xml:space="preserve"> Risk £100, Gain £120; Enter 1.2 In Yellow Cell</t>
        </r>
      </text>
    </comment>
    <comment ref="J9" authorId="1" shapeId="0">
      <text>
        <r>
          <rPr>
            <sz val="8"/>
            <color indexed="53"/>
            <rFont val="Tahoma"/>
            <family val="2"/>
          </rPr>
          <t xml:space="preserve">
Your Average Trade Loss Depicted As A </t>
        </r>
        <r>
          <rPr>
            <u/>
            <sz val="8"/>
            <color indexed="9"/>
            <rFont val="Tahoma"/>
            <family val="2"/>
          </rPr>
          <t>%</t>
        </r>
        <r>
          <rPr>
            <b/>
            <sz val="8"/>
            <color indexed="53"/>
            <rFont val="Tahoma"/>
            <family val="2"/>
          </rPr>
          <t xml:space="preserve">
</t>
        </r>
      </text>
    </comment>
    <comment ref="Z9" authorId="1" shapeId="0">
      <text>
        <r>
          <rPr>
            <sz val="8"/>
            <color indexed="53"/>
            <rFont val="Tahoma"/>
            <family val="2"/>
          </rPr>
          <t xml:space="preserve">Your Average Trade Win Depicted As A </t>
        </r>
        <r>
          <rPr>
            <u/>
            <sz val="8"/>
            <color indexed="9"/>
            <rFont val="Tahoma"/>
            <family val="2"/>
          </rPr>
          <t>%</t>
        </r>
      </text>
    </comment>
    <comment ref="E10" authorId="2" shapeId="0">
      <text>
        <r>
          <rPr>
            <sz val="8"/>
            <color indexed="53"/>
            <rFont val="Tahoma"/>
            <family val="2"/>
          </rPr>
          <t xml:space="preserve">Enter Your Average Commission Costs, Per Trade. (Round Trip)
If Zero: Please Enter </t>
        </r>
        <r>
          <rPr>
            <sz val="8"/>
            <color indexed="9"/>
            <rFont val="Tahoma"/>
            <family val="2"/>
          </rPr>
          <t>0</t>
        </r>
      </text>
    </comment>
    <comment ref="J10" authorId="1" shapeId="0">
      <text>
        <r>
          <rPr>
            <sz val="8"/>
            <color indexed="53"/>
            <rFont val="Tahoma"/>
            <family val="2"/>
          </rPr>
          <t>The 1st Cell Tells You The Highest Numerical Value (The Most) '</t>
        </r>
        <r>
          <rPr>
            <u/>
            <sz val="8"/>
            <color indexed="9"/>
            <rFont val="Tahoma"/>
            <family val="2"/>
          </rPr>
          <t>Consecutive</t>
        </r>
        <r>
          <rPr>
            <sz val="8"/>
            <color indexed="53"/>
            <rFont val="Tahoma"/>
            <family val="2"/>
          </rPr>
          <t xml:space="preserve">' Losses That Were Obtained In The </t>
        </r>
        <r>
          <rPr>
            <u/>
            <sz val="8"/>
            <color indexed="9"/>
            <rFont val="Tahoma"/>
            <family val="2"/>
          </rPr>
          <t>500</t>
        </r>
        <r>
          <rPr>
            <sz val="8"/>
            <color indexed="53"/>
            <rFont val="Tahoma"/>
            <family val="2"/>
          </rPr>
          <t xml:space="preserve"> Random Trade Simulation.
==================================
The 2nd Cell Shows You The Cell Range Location For The Numerical Value Mentioned Above.
==================================
</t>
        </r>
        <r>
          <rPr>
            <u/>
            <sz val="8"/>
            <color indexed="10"/>
            <rFont val="Tahoma"/>
            <family val="2"/>
          </rPr>
          <t>***Please Note:***</t>
        </r>
        <r>
          <rPr>
            <sz val="8"/>
            <color indexed="53"/>
            <rFont val="Tahoma"/>
            <family val="2"/>
          </rPr>
          <t xml:space="preserve">
If There Is More Than 1 Occurrance Of The Most Consec. Losing Streak,,(For Example: The Most Consec. losses You Had Were 9 In A Row,,But; This Actually Happened Twice Within The </t>
        </r>
        <r>
          <rPr>
            <u/>
            <sz val="8"/>
            <color indexed="9"/>
            <rFont val="Tahoma"/>
            <family val="2"/>
          </rPr>
          <t>500</t>
        </r>
        <r>
          <rPr>
            <sz val="8"/>
            <color indexed="53"/>
            <rFont val="Tahoma"/>
            <family val="2"/>
          </rPr>
          <t xml:space="preserve"> Trade Simulation), Then Only The 1st Occurance Of This Will Be Displayed.</t>
        </r>
      </text>
    </comment>
    <comment ref="Z10" authorId="1" shapeId="0">
      <text>
        <r>
          <rPr>
            <sz val="8"/>
            <color indexed="53"/>
            <rFont val="Tahoma"/>
            <family val="2"/>
          </rPr>
          <t xml:space="preserve">The 1st Cell Tells You The Highest Numerical Value (The Most) </t>
        </r>
        <r>
          <rPr>
            <u/>
            <sz val="8"/>
            <color indexed="9"/>
            <rFont val="Tahoma"/>
            <family val="2"/>
          </rPr>
          <t>'Consecutive'</t>
        </r>
        <r>
          <rPr>
            <sz val="8"/>
            <color indexed="53"/>
            <rFont val="Tahoma"/>
            <family val="2"/>
          </rPr>
          <t xml:space="preserve"> Wins That Were Obtained In The </t>
        </r>
        <r>
          <rPr>
            <u/>
            <sz val="8"/>
            <color indexed="9"/>
            <rFont val="Tahoma"/>
            <family val="2"/>
          </rPr>
          <t>500</t>
        </r>
        <r>
          <rPr>
            <sz val="8"/>
            <color indexed="53"/>
            <rFont val="Tahoma"/>
            <family val="2"/>
          </rPr>
          <t xml:space="preserve"> Random Trade Simulation.
==================================
The 2nd Cell Shows You The Cell Range Location For The Numerical Value Mentioned Above.
==================================
</t>
        </r>
        <r>
          <rPr>
            <sz val="8"/>
            <color indexed="10"/>
            <rFont val="Tahoma"/>
            <family val="2"/>
          </rPr>
          <t>***Please Note:***</t>
        </r>
        <r>
          <rPr>
            <sz val="8"/>
            <color indexed="53"/>
            <rFont val="Tahoma"/>
            <family val="2"/>
          </rPr>
          <t xml:space="preserve">
If There Is More Than 1 Occurrance Of The Most Consec. Win Streak,,(For Example: The Most Consec. Wins You Had Were 9 In A Row,,But; This Actually Happened Twice Within The </t>
        </r>
        <r>
          <rPr>
            <u/>
            <sz val="8"/>
            <color indexed="9"/>
            <rFont val="Tahoma"/>
            <family val="2"/>
          </rPr>
          <t>500</t>
        </r>
        <r>
          <rPr>
            <sz val="8"/>
            <color indexed="53"/>
            <rFont val="Tahoma"/>
            <family val="2"/>
          </rPr>
          <t xml:space="preserve"> Trade Simulation), Then Only The 1st Occurance Of This Will Be Displayed.</t>
        </r>
      </text>
    </comment>
    <comment ref="J11" authorId="1" shapeId="0">
      <text>
        <r>
          <rPr>
            <sz val="8"/>
            <color indexed="53"/>
            <rFont val="Tahoma"/>
            <family val="2"/>
          </rPr>
          <t xml:space="preserve">This Relates To The Cell Range Above For The Most Consec. Losses, &amp; Is Depicted In </t>
        </r>
        <r>
          <rPr>
            <u/>
            <sz val="8"/>
            <color indexed="9"/>
            <rFont val="Tahoma"/>
            <family val="2"/>
          </rPr>
          <t>£'s</t>
        </r>
      </text>
    </comment>
    <comment ref="Z11" authorId="1" shapeId="0">
      <text>
        <r>
          <rPr>
            <sz val="8"/>
            <color indexed="53"/>
            <rFont val="Tahoma"/>
            <family val="2"/>
          </rPr>
          <t xml:space="preserve">This Relates To The Cell Range Above For The Most Consec. Wins, &amp; Is Depicted In </t>
        </r>
        <r>
          <rPr>
            <u/>
            <sz val="8"/>
            <color indexed="9"/>
            <rFont val="Tahoma"/>
            <family val="2"/>
          </rPr>
          <t>£'s</t>
        </r>
      </text>
    </comment>
    <comment ref="J12" authorId="1" shapeId="0">
      <text>
        <r>
          <rPr>
            <sz val="8"/>
            <color indexed="53"/>
            <rFont val="Tahoma"/>
            <family val="2"/>
          </rPr>
          <t xml:space="preserve">The Largest </t>
        </r>
        <r>
          <rPr>
            <u/>
            <sz val="8"/>
            <color indexed="9"/>
            <rFont val="Tahoma"/>
            <family val="2"/>
          </rPr>
          <t>(£)</t>
        </r>
        <r>
          <rPr>
            <sz val="8"/>
            <color indexed="53"/>
            <rFont val="Tahoma"/>
            <family val="2"/>
          </rPr>
          <t xml:space="preserve"> Amount Lost In A Single Continuious Losing Streak Within The </t>
        </r>
        <r>
          <rPr>
            <u/>
            <sz val="8"/>
            <color indexed="9"/>
            <rFont val="Tahoma"/>
            <family val="2"/>
          </rPr>
          <t>500</t>
        </r>
        <r>
          <rPr>
            <sz val="8"/>
            <color indexed="53"/>
            <rFont val="Tahoma"/>
            <family val="2"/>
          </rPr>
          <t xml:space="preserve"> Random Trade Simulation.</t>
        </r>
      </text>
    </comment>
    <comment ref="Z12" authorId="1" shapeId="0">
      <text>
        <r>
          <rPr>
            <sz val="8"/>
            <color indexed="53"/>
            <rFont val="Tahoma"/>
            <family val="2"/>
          </rPr>
          <t xml:space="preserve">The Largest </t>
        </r>
        <r>
          <rPr>
            <u/>
            <sz val="8"/>
            <color indexed="9"/>
            <rFont val="Tahoma"/>
            <family val="2"/>
          </rPr>
          <t>(£)</t>
        </r>
        <r>
          <rPr>
            <sz val="8"/>
            <color indexed="53"/>
            <rFont val="Tahoma"/>
            <family val="2"/>
          </rPr>
          <t xml:space="preserve"> Amount Won In A Single Continuious Winning Streak Within The </t>
        </r>
        <r>
          <rPr>
            <u/>
            <sz val="8"/>
            <color indexed="9"/>
            <rFont val="Tahoma"/>
            <family val="2"/>
          </rPr>
          <t>500</t>
        </r>
        <r>
          <rPr>
            <sz val="8"/>
            <color indexed="53"/>
            <rFont val="Tahoma"/>
            <family val="2"/>
          </rPr>
          <t xml:space="preserve"> Random Trade Simulation.</t>
        </r>
      </text>
    </comment>
    <comment ref="C13" authorId="0" shapeId="0">
      <text>
        <r>
          <rPr>
            <sz val="9"/>
            <color indexed="53"/>
            <rFont val="Tahoma"/>
            <family val="2"/>
          </rPr>
          <t>Below: This Will Give You An Estimation Of The Number Of Consecutive Wins &amp; Losses In 'N' Trials</t>
        </r>
      </text>
    </comment>
    <comment ref="C14" authorId="1" shapeId="0">
      <text>
        <r>
          <rPr>
            <sz val="8"/>
            <color indexed="53"/>
            <rFont val="Tahoma"/>
            <family val="2"/>
          </rPr>
          <t>Enter The Number Of Trades You Would Like To Calculate Statistical Probable WINS &amp; LOSSES For</t>
        </r>
      </text>
    </comment>
    <comment ref="D14" authorId="1" shapeId="0">
      <text>
        <r>
          <rPr>
            <sz val="8"/>
            <color indexed="53"/>
            <rFont val="Tahoma"/>
            <family val="2"/>
          </rPr>
          <t>This Is The Statistical Probability Of Consecutive LOSSES For The No. Of Trades You Entered.</t>
        </r>
      </text>
    </comment>
    <comment ref="F14" authorId="1" shapeId="0">
      <text>
        <r>
          <rPr>
            <sz val="8"/>
            <color indexed="53"/>
            <rFont val="Tahoma"/>
            <family val="2"/>
          </rPr>
          <t>This Is The Statistical Probability Of Consecutive WINS For The No. Of Trades You Entered</t>
        </r>
      </text>
    </comment>
    <comment ref="J14" authorId="1" shapeId="0">
      <text>
        <r>
          <rPr>
            <sz val="8"/>
            <color indexed="53"/>
            <rFont val="Tahoma"/>
            <family val="2"/>
          </rPr>
          <t xml:space="preserve">This Shows The Largest Losing Trade In </t>
        </r>
        <r>
          <rPr>
            <u/>
            <sz val="8"/>
            <color indexed="9"/>
            <rFont val="Tahoma"/>
            <family val="2"/>
          </rPr>
          <t>£'s</t>
        </r>
        <r>
          <rPr>
            <sz val="8"/>
            <color indexed="53"/>
            <rFont val="Tahoma"/>
            <family val="2"/>
          </rPr>
          <t xml:space="preserve"> Within The </t>
        </r>
        <r>
          <rPr>
            <u/>
            <sz val="8"/>
            <color indexed="9"/>
            <rFont val="Tahoma"/>
            <family val="2"/>
          </rPr>
          <t>500</t>
        </r>
        <r>
          <rPr>
            <sz val="8"/>
            <color indexed="53"/>
            <rFont val="Tahoma"/>
            <family val="2"/>
          </rPr>
          <t xml:space="preserve"> Random Trade Series &amp; It's Cell Location For Quick look-Up</t>
        </r>
      </text>
    </comment>
    <comment ref="Z14" authorId="1" shapeId="0">
      <text>
        <r>
          <rPr>
            <sz val="8"/>
            <color indexed="53"/>
            <rFont val="Tahoma"/>
            <family val="2"/>
          </rPr>
          <t xml:space="preserve">This Shows The Largest Losing Trade In </t>
        </r>
        <r>
          <rPr>
            <u/>
            <sz val="8"/>
            <color indexed="9"/>
            <rFont val="Tahoma"/>
            <family val="2"/>
          </rPr>
          <t xml:space="preserve">£'s </t>
        </r>
        <r>
          <rPr>
            <sz val="8"/>
            <color indexed="53"/>
            <rFont val="Tahoma"/>
            <family val="2"/>
          </rPr>
          <t xml:space="preserve">Within The </t>
        </r>
        <r>
          <rPr>
            <u/>
            <sz val="8"/>
            <color indexed="9"/>
            <rFont val="Tahoma"/>
            <family val="2"/>
          </rPr>
          <t>500</t>
        </r>
        <r>
          <rPr>
            <sz val="8"/>
            <color indexed="53"/>
            <rFont val="Tahoma"/>
            <family val="2"/>
          </rPr>
          <t xml:space="preserve"> Random Trade Series &amp; It's Cell Location For Quick look-Up</t>
        </r>
      </text>
    </comment>
    <comment ref="J15" authorId="1" shapeId="0">
      <text>
        <r>
          <rPr>
            <sz val="8"/>
            <color indexed="53"/>
            <rFont val="Tahoma"/>
            <family val="2"/>
          </rPr>
          <t xml:space="preserve">This This The Lowest Amount Your Capital Dropped In </t>
        </r>
        <r>
          <rPr>
            <u/>
            <sz val="8"/>
            <color indexed="9"/>
            <rFont val="Tahoma"/>
            <family val="2"/>
          </rPr>
          <t>£'s</t>
        </r>
        <r>
          <rPr>
            <sz val="8"/>
            <color indexed="53"/>
            <rFont val="Tahoma"/>
            <family val="2"/>
          </rPr>
          <t xml:space="preserve"> During The </t>
        </r>
        <r>
          <rPr>
            <u/>
            <sz val="8"/>
            <color indexed="9"/>
            <rFont val="Tahoma"/>
            <family val="2"/>
          </rPr>
          <t>500</t>
        </r>
        <r>
          <rPr>
            <sz val="8"/>
            <color indexed="53"/>
            <rFont val="Tahoma"/>
            <family val="2"/>
          </rPr>
          <t xml:space="preserve"> Random Trade Sample</t>
        </r>
      </text>
    </comment>
    <comment ref="Z15" authorId="1" shapeId="0">
      <text>
        <r>
          <rPr>
            <sz val="8"/>
            <color indexed="53"/>
            <rFont val="Tahoma"/>
            <family val="2"/>
          </rPr>
          <t xml:space="preserve">This is The Largest Amount Your Capital Rose To In  </t>
        </r>
        <r>
          <rPr>
            <u/>
            <sz val="8"/>
            <color indexed="9"/>
            <rFont val="Tahoma"/>
            <family val="2"/>
          </rPr>
          <t>£'s</t>
        </r>
        <r>
          <rPr>
            <sz val="8"/>
            <color indexed="53"/>
            <rFont val="Tahoma"/>
            <family val="2"/>
          </rPr>
          <t xml:space="preserve"> During The </t>
        </r>
        <r>
          <rPr>
            <u/>
            <sz val="8"/>
            <color indexed="9"/>
            <rFont val="Tahoma"/>
            <family val="2"/>
          </rPr>
          <t>500</t>
        </r>
        <r>
          <rPr>
            <sz val="8"/>
            <color indexed="53"/>
            <rFont val="Tahoma"/>
            <family val="2"/>
          </rPr>
          <t xml:space="preserve"> Random Trade Sample</t>
        </r>
      </text>
    </comment>
    <comment ref="J18" authorId="1" shapeId="0">
      <text>
        <r>
          <rPr>
            <sz val="8"/>
            <color indexed="53"/>
            <rFont val="Tahoma"/>
            <family val="2"/>
          </rPr>
          <t xml:space="preserve">This Is The Ending Capital Amount In </t>
        </r>
        <r>
          <rPr>
            <sz val="8"/>
            <color indexed="9"/>
            <rFont val="Tahoma"/>
            <family val="2"/>
          </rPr>
          <t>£'s</t>
        </r>
        <r>
          <rPr>
            <sz val="8"/>
            <color indexed="53"/>
            <rFont val="Tahoma"/>
            <family val="2"/>
          </rPr>
          <t xml:space="preserve"> For The </t>
        </r>
        <r>
          <rPr>
            <sz val="8"/>
            <color indexed="9"/>
            <rFont val="Tahoma"/>
            <family val="2"/>
          </rPr>
          <t>500</t>
        </r>
        <r>
          <rPr>
            <sz val="8"/>
            <color indexed="53"/>
            <rFont val="Tahoma"/>
            <family val="2"/>
          </rPr>
          <t xml:space="preserve"> Simulated Random Trades. Remember That It's Based On Your Inital Starting </t>
        </r>
        <r>
          <rPr>
            <sz val="8"/>
            <color indexed="9"/>
            <rFont val="Tahoma"/>
            <family val="2"/>
          </rPr>
          <t>£'s</t>
        </r>
        <r>
          <rPr>
            <sz val="8"/>
            <color indexed="53"/>
            <rFont val="Tahoma"/>
            <family val="2"/>
          </rPr>
          <t xml:space="preserve"> Capital Amount.
This Might Be  A Positive Amount In £'s Or A Negative Amount In </t>
        </r>
        <r>
          <rPr>
            <sz val="8"/>
            <color indexed="9"/>
            <rFont val="Tahoma"/>
            <family val="2"/>
          </rPr>
          <t>£'s</t>
        </r>
        <r>
          <rPr>
            <sz val="8"/>
            <color indexed="53"/>
            <rFont val="Tahoma"/>
            <family val="2"/>
          </rPr>
          <t xml:space="preserve"> Depending On Your Entered System's Performance Details &amp; The Random 'Monte Carlo' Distribution</t>
        </r>
      </text>
    </comment>
    <comment ref="Z18" authorId="1" shapeId="0">
      <text>
        <r>
          <rPr>
            <sz val="8"/>
            <color indexed="53"/>
            <rFont val="Tahoma"/>
            <family val="2"/>
          </rPr>
          <t xml:space="preserve">This Is The (NETT) Profit Or Loss As A </t>
        </r>
        <r>
          <rPr>
            <sz val="8"/>
            <color indexed="9"/>
            <rFont val="Tahoma"/>
            <family val="2"/>
          </rPr>
          <t>%</t>
        </r>
        <r>
          <rPr>
            <sz val="8"/>
            <color indexed="53"/>
            <rFont val="Tahoma"/>
            <family val="2"/>
          </rPr>
          <t xml:space="preserve"> For The </t>
        </r>
        <r>
          <rPr>
            <sz val="8"/>
            <color indexed="9"/>
            <rFont val="Tahoma"/>
            <family val="2"/>
          </rPr>
          <t>500</t>
        </r>
        <r>
          <rPr>
            <sz val="8"/>
            <color indexed="53"/>
            <rFont val="Tahoma"/>
            <family val="2"/>
          </rPr>
          <t xml:space="preserve"> Simulated Random Trades. It Doesn't Take Into Account Your Starting Capital Amount.
This Might Be  A Positive Amount Or A Negative Amount, Depending On Your Entered System's Performance Details &amp; The Random 'Monte Carlo' Distribution</t>
        </r>
        <r>
          <rPr>
            <sz val="8"/>
            <color indexed="9"/>
            <rFont val="Tahoma"/>
            <family val="2"/>
          </rPr>
          <t xml:space="preserve">
</t>
        </r>
      </text>
    </comment>
    <comment ref="J20" authorId="1" shapeId="0">
      <text>
        <r>
          <rPr>
            <sz val="8"/>
            <color indexed="53"/>
            <rFont val="Tahoma"/>
            <family val="2"/>
          </rPr>
          <t xml:space="preserve">This Is The (NETT) Ending Capital Amount In </t>
        </r>
        <r>
          <rPr>
            <sz val="8"/>
            <color indexed="9"/>
            <rFont val="Tahoma"/>
            <family val="2"/>
          </rPr>
          <t>£'s</t>
        </r>
        <r>
          <rPr>
            <sz val="8"/>
            <color indexed="53"/>
            <rFont val="Tahoma"/>
            <family val="2"/>
          </rPr>
          <t xml:space="preserve"> For The </t>
        </r>
        <r>
          <rPr>
            <sz val="8"/>
            <color indexed="9"/>
            <rFont val="Tahoma"/>
            <family val="2"/>
          </rPr>
          <t>500</t>
        </r>
        <r>
          <rPr>
            <sz val="8"/>
            <color indexed="53"/>
            <rFont val="Tahoma"/>
            <family val="2"/>
          </rPr>
          <t xml:space="preserve"> Simulated Random Trades.
Example;
Starting Amount £10,000
Ending Amount £7,000
Nett profit/Loss £</t>
        </r>
        <r>
          <rPr>
            <sz val="8"/>
            <color indexed="10"/>
            <rFont val="Tahoma"/>
            <family val="2"/>
          </rPr>
          <t>-3,000</t>
        </r>
        <r>
          <rPr>
            <sz val="8"/>
            <color indexed="53"/>
            <rFont val="Tahoma"/>
            <family val="2"/>
          </rPr>
          <t xml:space="preserve">
This Might Be  A Positive Amount In </t>
        </r>
        <r>
          <rPr>
            <sz val="8"/>
            <color indexed="9"/>
            <rFont val="Tahoma"/>
            <family val="2"/>
          </rPr>
          <t>£'s</t>
        </r>
        <r>
          <rPr>
            <sz val="8"/>
            <color indexed="53"/>
            <rFont val="Tahoma"/>
            <family val="2"/>
          </rPr>
          <t xml:space="preserve"> Or A Negative Amount In </t>
        </r>
        <r>
          <rPr>
            <sz val="8"/>
            <color indexed="9"/>
            <rFont val="Tahoma"/>
            <family val="2"/>
          </rPr>
          <t>£'s</t>
        </r>
        <r>
          <rPr>
            <sz val="8"/>
            <color indexed="53"/>
            <rFont val="Tahoma"/>
            <family val="2"/>
          </rPr>
          <t xml:space="preserve"> Depending On Your Entered System's Performance Details &amp; The Random 'Monte Carlo' Distribution
</t>
        </r>
      </text>
    </comment>
    <comment ref="Z20" authorId="1" shapeId="0">
      <text>
        <r>
          <rPr>
            <sz val="8"/>
            <color indexed="53"/>
            <rFont val="Tahoma"/>
            <family val="2"/>
          </rPr>
          <t xml:space="preserve">If Your System Returns A Negative Amount For The Simulation In </t>
        </r>
        <r>
          <rPr>
            <sz val="8"/>
            <color indexed="9"/>
            <rFont val="Tahoma"/>
            <family val="2"/>
          </rPr>
          <t>£'s</t>
        </r>
        <r>
          <rPr>
            <sz val="8"/>
            <color indexed="53"/>
            <rFont val="Tahoma"/>
            <family val="2"/>
          </rPr>
          <t xml:space="preserve">, Then This Will Tell You How Much As A </t>
        </r>
        <r>
          <rPr>
            <sz val="8"/>
            <color indexed="9"/>
            <rFont val="Tahoma"/>
            <family val="2"/>
          </rPr>
          <t>%</t>
        </r>
        <r>
          <rPr>
            <sz val="8"/>
            <color indexed="53"/>
            <rFont val="Tahoma"/>
            <family val="2"/>
          </rPr>
          <t xml:space="preserve"> You Need To Recover In Order To 'Break Even', IE Return To Your Initial Starting Equity Amount.</t>
        </r>
      </text>
    </comment>
    <comment ref="B23" authorId="1" shapeId="0">
      <text>
        <r>
          <rPr>
            <sz val="8"/>
            <color indexed="53"/>
            <rFont val="Tahoma"/>
            <family val="2"/>
          </rPr>
          <t xml:space="preserve">This Column Tells You:
1. The Excel Row Reference Number
2.The Trade Simulation Number </t>
        </r>
        <r>
          <rPr>
            <sz val="8"/>
            <color indexed="9"/>
            <rFont val="Tahoma"/>
            <family val="2"/>
          </rPr>
          <t>(In Brackets)</t>
        </r>
      </text>
    </comment>
    <comment ref="D23" authorId="1" shapeId="0">
      <text>
        <r>
          <rPr>
            <sz val="8"/>
            <color indexed="53"/>
            <rFont val="Tahoma"/>
            <family val="2"/>
          </rPr>
          <t xml:space="preserve">These Are The "Random Numbers" Generated Using Some Rather Clever VB Code (Thanks Again Norie), That Pulls In Data From Random.ORG
=======================================
The Randomness Comes From Atmospheric Noise, Which For Many Purposes Is Better Than The Pseudo-Random Number Algorithms Typically Used In Computer Programs.
=======================================
</t>
        </r>
        <r>
          <rPr>
            <sz val="8"/>
            <color indexed="10"/>
            <rFont val="Tahoma"/>
            <family val="2"/>
          </rPr>
          <t>#####A INTERNET CONNECTION IS NEEDED#####
http://www.random.org/integers/</t>
        </r>
      </text>
    </comment>
    <comment ref="F23" authorId="1" shapeId="0">
      <text>
        <r>
          <rPr>
            <sz val="8"/>
            <color indexed="53"/>
            <rFont val="Tahoma"/>
            <family val="2"/>
          </rPr>
          <t>A Running Total That Starts From Your Initial Equity Amount In £'s &amp; Increases/Decreases With Each Trade's Outcome</t>
        </r>
      </text>
    </comment>
    <comment ref="H23" authorId="1" shapeId="0">
      <text>
        <r>
          <rPr>
            <sz val="8"/>
            <color indexed="53"/>
            <rFont val="Tahoma"/>
            <family val="2"/>
          </rPr>
          <t xml:space="preserve">Your Chosen Entered Risk </t>
        </r>
        <r>
          <rPr>
            <sz val="8"/>
            <color indexed="9"/>
            <rFont val="Tahoma"/>
            <family val="2"/>
          </rPr>
          <t>%</t>
        </r>
        <r>
          <rPr>
            <sz val="8"/>
            <color indexed="53"/>
            <rFont val="Tahoma"/>
            <family val="2"/>
          </rPr>
          <t xml:space="preserve"> That Is A Fixed </t>
        </r>
        <r>
          <rPr>
            <sz val="8"/>
            <color indexed="9"/>
            <rFont val="Tahoma"/>
            <family val="2"/>
          </rPr>
          <t>%</t>
        </r>
        <r>
          <rPr>
            <sz val="8"/>
            <color indexed="53"/>
            <rFont val="Tahoma"/>
            <family val="2"/>
          </rPr>
          <t xml:space="preserve"> For Each Trade Throughout The Entire Simulation</t>
        </r>
      </text>
    </comment>
    <comment ref="K23" authorId="1" shapeId="0">
      <text>
        <r>
          <rPr>
            <sz val="8"/>
            <color indexed="53"/>
            <rFont val="Tahoma"/>
            <family val="2"/>
          </rPr>
          <t xml:space="preserve">This Is The Actual Amount In </t>
        </r>
        <r>
          <rPr>
            <sz val="8"/>
            <color indexed="9"/>
            <rFont val="Tahoma"/>
            <family val="2"/>
          </rPr>
          <t>£'s</t>
        </r>
        <r>
          <rPr>
            <sz val="8"/>
            <color indexed="53"/>
            <rFont val="Tahoma"/>
            <family val="2"/>
          </rPr>
          <t xml:space="preserve"> The Simulation Calculates Your Win Or Loss On Each Trade. This Also Takes Into Account The Commission Amount You Entered In </t>
        </r>
        <r>
          <rPr>
            <sz val="8"/>
            <color indexed="9"/>
            <rFont val="Tahoma"/>
            <family val="2"/>
          </rPr>
          <t>£'s</t>
        </r>
        <r>
          <rPr>
            <sz val="8"/>
            <color indexed="53"/>
            <rFont val="Tahoma"/>
            <family val="2"/>
          </rPr>
          <t xml:space="preserve">  On Each Trade As well.
</t>
        </r>
        <r>
          <rPr>
            <sz val="8"/>
            <color indexed="10"/>
            <rFont val="Tahoma"/>
            <family val="2"/>
          </rPr>
          <t>Red</t>
        </r>
        <r>
          <rPr>
            <sz val="8"/>
            <color indexed="53"/>
            <rFont val="Tahoma"/>
            <family val="2"/>
          </rPr>
          <t xml:space="preserve"> Indicates A Trade Loss
White Indicates A Winning Trade</t>
        </r>
      </text>
    </comment>
    <comment ref="L23" authorId="1" shapeId="0">
      <text>
        <r>
          <rPr>
            <sz val="8"/>
            <color indexed="53"/>
            <rFont val="Tahoma"/>
            <family val="2"/>
          </rPr>
          <t>Simple;
Was The Trade A Winning Trade or A Losing Trade :-)</t>
        </r>
      </text>
    </comment>
    <comment ref="M23" authorId="1" shapeId="0">
      <text>
        <r>
          <rPr>
            <sz val="8"/>
            <color indexed="53"/>
            <rFont val="Tahoma"/>
            <family val="2"/>
          </rPr>
          <t xml:space="preserve">A Running </t>
        </r>
        <r>
          <rPr>
            <sz val="8"/>
            <color indexed="9"/>
            <rFont val="Tahoma"/>
            <family val="2"/>
          </rPr>
          <t>%</t>
        </r>
        <r>
          <rPr>
            <sz val="8"/>
            <color indexed="53"/>
            <rFont val="Tahoma"/>
            <family val="2"/>
          </rPr>
          <t xml:space="preserve"> Of Your Initial Capital; Increasing Or Decreasing Over The </t>
        </r>
        <r>
          <rPr>
            <sz val="8"/>
            <color indexed="9"/>
            <rFont val="Tahoma"/>
            <family val="2"/>
          </rPr>
          <t>500</t>
        </r>
        <r>
          <rPr>
            <sz val="8"/>
            <color indexed="53"/>
            <rFont val="Tahoma"/>
            <family val="2"/>
          </rPr>
          <t xml:space="preserve"> Trade Simulation</t>
        </r>
      </text>
    </comment>
  </commentList>
</comments>
</file>

<file path=xl/sharedStrings.xml><?xml version="1.0" encoding="utf-8"?>
<sst xmlns="http://schemas.openxmlformats.org/spreadsheetml/2006/main" count="644" uniqueCount="614">
  <si>
    <t>Starting Capital (£)</t>
  </si>
  <si>
    <t>Risk (%)</t>
  </si>
  <si>
    <t>Commission (£)</t>
  </si>
  <si>
    <t>EXPECTANCY</t>
  </si>
  <si>
    <t>Quotations</t>
  </si>
  <si>
    <t>Preston Bradley</t>
  </si>
  <si>
    <t>Richard M. DeVos</t>
  </si>
  <si>
    <t>Author Unknown</t>
  </si>
  <si>
    <t>Samuel Johnson (1709-1784, British author)</t>
  </si>
  <si>
    <t>CALCULATE</t>
  </si>
  <si>
    <t>Winning  (%)</t>
  </si>
  <si>
    <t>Position</t>
  </si>
  <si>
    <t>Win Label Pos.</t>
  </si>
  <si>
    <t>LOSS</t>
  </si>
  <si>
    <t>WIN</t>
  </si>
  <si>
    <t>WIN %</t>
  </si>
  <si>
    <t>LOSS Label Pos</t>
  </si>
  <si>
    <t>LOSS %</t>
  </si>
  <si>
    <t>Repeats</t>
  </si>
  <si>
    <t>Capital (£)</t>
  </si>
  <si>
    <t>Count</t>
  </si>
  <si>
    <t>Distribution and Reprint Policy</t>
  </si>
  <si>
    <r>
      <t xml:space="preserve">This document </t>
    </r>
    <r>
      <rPr>
        <sz val="10"/>
        <color theme="6" tint="0.39997558519241921"/>
        <rFont val="Tahoma"/>
        <family val="2"/>
      </rPr>
      <t>maybe</t>
    </r>
    <r>
      <rPr>
        <sz val="10"/>
        <color theme="0"/>
        <rFont val="Tahoma"/>
        <family val="2"/>
      </rPr>
      <t xml:space="preserve"> be republished and distributed under the proviso that it cannot be altered or amended.</t>
    </r>
  </si>
  <si>
    <t>traderdowboy@gmail.com</t>
  </si>
  <si>
    <t xml:space="preserve">DayTradingLife.com Reserve all rights to this effect. </t>
  </si>
  <si>
    <t xml:space="preserve">For any futher information please email me at: </t>
  </si>
  <si>
    <t>NOTES</t>
  </si>
  <si>
    <t>Details</t>
  </si>
  <si>
    <t xml:space="preserve"> </t>
  </si>
  <si>
    <t>Total Losing Trades</t>
  </si>
  <si>
    <t>Total Winning Trades</t>
  </si>
  <si>
    <t>DayTradingLife.com.</t>
  </si>
  <si>
    <t>Win/Loss (£)</t>
  </si>
  <si>
    <t>Winning Streaks £'s</t>
  </si>
  <si>
    <t>Losing Streaks £'s</t>
  </si>
  <si>
    <t>Lowest Equity Low(£)</t>
  </si>
  <si>
    <t>Largest Losing Trade(£)</t>
  </si>
  <si>
    <t>Largest Losing Streak(£)</t>
  </si>
  <si>
    <t>Average Trade Loss(%)</t>
  </si>
  <si>
    <t>Average Trade Loss(£)</t>
  </si>
  <si>
    <t>Actual Losing(%)</t>
  </si>
  <si>
    <t>Total Losses(£)</t>
  </si>
  <si>
    <t>Total Wins(£)</t>
  </si>
  <si>
    <t>Actual Win(%)</t>
  </si>
  <si>
    <t>Average Trade Win(£)</t>
  </si>
  <si>
    <t>Average Trade Win(%)</t>
  </si>
  <si>
    <t>Largest Winning Streak(£)</t>
  </si>
  <si>
    <t>Largest Winning Trade(£)</t>
  </si>
  <si>
    <t>Peak Gain(£)</t>
  </si>
  <si>
    <t>Actual Winning(%)</t>
  </si>
  <si>
    <t>Most Consec. Losses(£)</t>
  </si>
  <si>
    <t>Most Consec. Wins</t>
  </si>
  <si>
    <t>Most Consec. Wins(£)</t>
  </si>
  <si>
    <t>Most Consec. Losses</t>
  </si>
  <si>
    <t>Ending Capital (£)</t>
  </si>
  <si>
    <t>Nett Profit / Loss (£)</t>
  </si>
  <si>
    <t>Nett Profit / Loss (%)</t>
  </si>
  <si>
    <t>Drawdown Recovery (%)</t>
  </si>
  <si>
    <t>Current Date / Time:</t>
  </si>
  <si>
    <t>Con.Losses</t>
  </si>
  <si>
    <t>No.Trades</t>
  </si>
  <si>
    <t>Con. Wins</t>
  </si>
  <si>
    <t>Statistical Probabilty Of Consec. Wins &amp; Losses.</t>
  </si>
  <si>
    <t>DayTradingLife.com</t>
  </si>
  <si>
    <r>
      <t xml:space="preserve">Results After  </t>
    </r>
    <r>
      <rPr>
        <u/>
        <sz val="14"/>
        <color theme="0"/>
        <rFont val="Calibri"/>
        <family val="2"/>
        <scheme val="minor"/>
      </rPr>
      <t>500</t>
    </r>
    <r>
      <rPr>
        <sz val="14"/>
        <color rgb="FFD5AC3A"/>
        <rFont val="Calibri"/>
        <family val="2"/>
        <scheme val="minor"/>
      </rPr>
      <t xml:space="preserve">  Random Trades.</t>
    </r>
  </si>
  <si>
    <r>
      <t xml:space="preserve">Results After </t>
    </r>
    <r>
      <rPr>
        <u/>
        <sz val="14"/>
        <color theme="0"/>
        <rFont val="Calibri"/>
        <family val="2"/>
        <scheme val="minor"/>
      </rPr>
      <t>100</t>
    </r>
    <r>
      <rPr>
        <sz val="14"/>
        <color rgb="FFD5AC3A"/>
        <rFont val="Calibri"/>
        <family val="2"/>
        <scheme val="minor"/>
      </rPr>
      <t xml:space="preserve"> Simulated Trades</t>
    </r>
  </si>
  <si>
    <r>
      <t>Capital +/</t>
    </r>
    <r>
      <rPr>
        <sz val="11"/>
        <color rgb="FFFF0000"/>
        <rFont val="Tahoma"/>
        <family val="2"/>
      </rPr>
      <t>-</t>
    </r>
    <r>
      <rPr>
        <sz val="11"/>
        <color rgb="FFD5AC3A"/>
        <rFont val="Tahoma"/>
        <family val="2"/>
      </rPr>
      <t>%</t>
    </r>
  </si>
  <si>
    <r>
      <t>1st:</t>
    </r>
    <r>
      <rPr>
        <sz val="12"/>
        <color rgb="FFD5AC3A"/>
        <rFont val="Calibri"/>
        <family val="2"/>
        <scheme val="minor"/>
      </rPr>
      <t xml:space="preserve"> ENTER DETAILS IN</t>
    </r>
    <r>
      <rPr>
        <sz val="12"/>
        <color theme="0"/>
        <rFont val="Calibri"/>
        <family val="2"/>
        <scheme val="minor"/>
      </rPr>
      <t xml:space="preserve"> </t>
    </r>
    <r>
      <rPr>
        <sz val="12"/>
        <color rgb="FFFFFF00"/>
        <rFont val="Calibri"/>
        <family val="2"/>
        <scheme val="minor"/>
      </rPr>
      <t>YELLOW</t>
    </r>
    <r>
      <rPr>
        <sz val="12"/>
        <color theme="0"/>
        <rFont val="Calibri"/>
        <family val="2"/>
        <scheme val="minor"/>
      </rPr>
      <t xml:space="preserve"> </t>
    </r>
    <r>
      <rPr>
        <sz val="12"/>
        <color rgb="FFD5AC3A"/>
        <rFont val="Calibri"/>
        <family val="2"/>
        <scheme val="minor"/>
      </rPr>
      <t>CELLS!</t>
    </r>
  </si>
  <si>
    <t>Row 24 (1)</t>
  </si>
  <si>
    <t>Row 25 (2)</t>
  </si>
  <si>
    <t>Row 26 (3)</t>
  </si>
  <si>
    <t>Row 27 (4)</t>
  </si>
  <si>
    <t>Row 28 (5)</t>
  </si>
  <si>
    <t>Row 29 (6)</t>
  </si>
  <si>
    <t>Row 30 (7)</t>
  </si>
  <si>
    <t>Row 31 (8)</t>
  </si>
  <si>
    <t>Row 32 (9)</t>
  </si>
  <si>
    <t>Row 33 (10)</t>
  </si>
  <si>
    <t>Row 34 (11)</t>
  </si>
  <si>
    <t>Row 35 (12)</t>
  </si>
  <si>
    <t>Row 36 (13)</t>
  </si>
  <si>
    <t>Row 37 (14)</t>
  </si>
  <si>
    <t>Row 38 (15)</t>
  </si>
  <si>
    <t>Row 39 (16)</t>
  </si>
  <si>
    <t>Row 40 (17)</t>
  </si>
  <si>
    <t>Row 41 (18)</t>
  </si>
  <si>
    <t>Row 42 (19)</t>
  </si>
  <si>
    <t>Row 43 (20)</t>
  </si>
  <si>
    <t>Row 44 (21)</t>
  </si>
  <si>
    <t>Row 45 (22)</t>
  </si>
  <si>
    <t>Row 46 (23)</t>
  </si>
  <si>
    <t>Row 47 (24)</t>
  </si>
  <si>
    <t>Row 48 (25)</t>
  </si>
  <si>
    <t>Row 49 (26)</t>
  </si>
  <si>
    <t>Row 50 (27)</t>
  </si>
  <si>
    <t>Row 51 (28)</t>
  </si>
  <si>
    <t>Row 52 (29)</t>
  </si>
  <si>
    <t>Row 53 (30)</t>
  </si>
  <si>
    <t>Row 54 (31)</t>
  </si>
  <si>
    <t>Row 55 (32)</t>
  </si>
  <si>
    <t>Row 56 (33)</t>
  </si>
  <si>
    <t>Row 57 (34)</t>
  </si>
  <si>
    <t>Row 58 (35)</t>
  </si>
  <si>
    <t>Row 59 (36)</t>
  </si>
  <si>
    <t>Row 60 (37)</t>
  </si>
  <si>
    <t>Row 61 (38)</t>
  </si>
  <si>
    <t>Row 62 (39)</t>
  </si>
  <si>
    <t>Row 63 (40)</t>
  </si>
  <si>
    <t>Row 64 (41)</t>
  </si>
  <si>
    <t>Row 65 (42)</t>
  </si>
  <si>
    <t>Row 66 (43)</t>
  </si>
  <si>
    <t>Row 67 (44)</t>
  </si>
  <si>
    <t>Row 68 (45)</t>
  </si>
  <si>
    <t>Row 69 (46)</t>
  </si>
  <si>
    <t>Row 70 (47)</t>
  </si>
  <si>
    <t>Row 71 (48)</t>
  </si>
  <si>
    <t>Row 72 (49)</t>
  </si>
  <si>
    <t>Row 73 (50)</t>
  </si>
  <si>
    <t>Row 74 (51)</t>
  </si>
  <si>
    <t>Row 75 (52)</t>
  </si>
  <si>
    <t>Row 76 (53)</t>
  </si>
  <si>
    <t>Row 77 (54)</t>
  </si>
  <si>
    <t>Row 78 (55)</t>
  </si>
  <si>
    <t>Row 79 (56)</t>
  </si>
  <si>
    <t>Row 80 (57)</t>
  </si>
  <si>
    <t>Row 81 (58)</t>
  </si>
  <si>
    <t>Row 82 (59)</t>
  </si>
  <si>
    <t>Row 83 (60)</t>
  </si>
  <si>
    <t>Row 84 (61)</t>
  </si>
  <si>
    <t>Row 85 (62)</t>
  </si>
  <si>
    <t>Row 86 (63)</t>
  </si>
  <si>
    <t>Row 87 (64)</t>
  </si>
  <si>
    <t>Row 88 (65)</t>
  </si>
  <si>
    <t>Row 89 (66)</t>
  </si>
  <si>
    <t>Row 90 (67)</t>
  </si>
  <si>
    <t>Row 91 (68)</t>
  </si>
  <si>
    <t>Row 92 (69)</t>
  </si>
  <si>
    <t>Row 93 (70)</t>
  </si>
  <si>
    <t>Row 94 (71)</t>
  </si>
  <si>
    <t>Row 95 (72)</t>
  </si>
  <si>
    <t>Row 96 (73)</t>
  </si>
  <si>
    <t>Row 97 (74)</t>
  </si>
  <si>
    <t>Row 98 (75)</t>
  </si>
  <si>
    <t>Row 99 (76)</t>
  </si>
  <si>
    <t>Row 100 (77)</t>
  </si>
  <si>
    <t>Row 101 (78)</t>
  </si>
  <si>
    <t>Row 102 (79)</t>
  </si>
  <si>
    <t>Row 103 (80)</t>
  </si>
  <si>
    <t>Row 104 (81)</t>
  </si>
  <si>
    <t>Row 105 (82)</t>
  </si>
  <si>
    <t>Row 106 (83)</t>
  </si>
  <si>
    <t>Row 107 (84)</t>
  </si>
  <si>
    <t>Row 108 (85)</t>
  </si>
  <si>
    <t>Row 109 (86)</t>
  </si>
  <si>
    <t>Row 110 (87)</t>
  </si>
  <si>
    <t>Row 111 (88)</t>
  </si>
  <si>
    <t>Row 112 (89)</t>
  </si>
  <si>
    <t>Row 113 (90)</t>
  </si>
  <si>
    <t>Row 114 (91)</t>
  </si>
  <si>
    <t>Row 115 (92)</t>
  </si>
  <si>
    <t>Row 116 (93)</t>
  </si>
  <si>
    <t>Row 117 (94)</t>
  </si>
  <si>
    <t>Row 118 (95)</t>
  </si>
  <si>
    <t>Row 119 (96)</t>
  </si>
  <si>
    <t>Row 120 (97)</t>
  </si>
  <si>
    <t>Row 121 (98)</t>
  </si>
  <si>
    <t>Row 122 (99)</t>
  </si>
  <si>
    <t>Row 123 (100)</t>
  </si>
  <si>
    <t>Row 124 (101)</t>
  </si>
  <si>
    <t>Row 125 (102)</t>
  </si>
  <si>
    <t>Row 126 (103)</t>
  </si>
  <si>
    <t>Row 127 (104)</t>
  </si>
  <si>
    <t>Row 128 (105)</t>
  </si>
  <si>
    <t>Row 129 (106)</t>
  </si>
  <si>
    <t>Row 130 (107)</t>
  </si>
  <si>
    <t>Row 131 (108)</t>
  </si>
  <si>
    <t>Row 132 (109)</t>
  </si>
  <si>
    <t>Row 133 (110)</t>
  </si>
  <si>
    <t>Row 134 (111)</t>
  </si>
  <si>
    <t>Row 135 (112)</t>
  </si>
  <si>
    <t>Row 136 (113)</t>
  </si>
  <si>
    <t>Row 137 (114)</t>
  </si>
  <si>
    <t>Row 138 (115)</t>
  </si>
  <si>
    <t>Row 139 (116)</t>
  </si>
  <si>
    <t>Row 140 (117)</t>
  </si>
  <si>
    <t>Row 141 (118)</t>
  </si>
  <si>
    <t>Row 142 (119)</t>
  </si>
  <si>
    <t>Row 143 (120)</t>
  </si>
  <si>
    <t>Row 144 (121)</t>
  </si>
  <si>
    <t>Row 145 (122)</t>
  </si>
  <si>
    <t>Row 146 (123)</t>
  </si>
  <si>
    <t>Row 147 (124)</t>
  </si>
  <si>
    <t>Row 148 (125)</t>
  </si>
  <si>
    <t>Row 149 (126)</t>
  </si>
  <si>
    <t>Row 150 (127)</t>
  </si>
  <si>
    <t>Row 151 (128)</t>
  </si>
  <si>
    <t>Row 152 (129)</t>
  </si>
  <si>
    <t>Row 153 (130)</t>
  </si>
  <si>
    <t>Row 154 (131)</t>
  </si>
  <si>
    <t>Row 155 (132)</t>
  </si>
  <si>
    <t>Row 156 (133)</t>
  </si>
  <si>
    <t>Row 157 (134)</t>
  </si>
  <si>
    <t>Row 158 (135)</t>
  </si>
  <si>
    <t>Row 159 (136)</t>
  </si>
  <si>
    <t>Row 160 (137)</t>
  </si>
  <si>
    <t>Row 161 (138)</t>
  </si>
  <si>
    <t>Row 162 (139)</t>
  </si>
  <si>
    <t>Row 163 (140)</t>
  </si>
  <si>
    <t>Row 164 (141)</t>
  </si>
  <si>
    <t>Row 165 (142)</t>
  </si>
  <si>
    <t>Row 166 (143)</t>
  </si>
  <si>
    <t>Row 167 (144)</t>
  </si>
  <si>
    <t>Row 168 (145)</t>
  </si>
  <si>
    <t>Row 169 (146)</t>
  </si>
  <si>
    <t>Row 170 (147)</t>
  </si>
  <si>
    <t>Row 171 (148)</t>
  </si>
  <si>
    <t>Row 172 (149)</t>
  </si>
  <si>
    <t>Row 173 (150)</t>
  </si>
  <si>
    <t>Row 174 (151)</t>
  </si>
  <si>
    <t>Row 175 (152)</t>
  </si>
  <si>
    <t>Row 176 (153)</t>
  </si>
  <si>
    <t>Row 177 (154)</t>
  </si>
  <si>
    <t>Row 178 (155)</t>
  </si>
  <si>
    <t>Row 179 (156)</t>
  </si>
  <si>
    <t>Row 180 (157)</t>
  </si>
  <si>
    <t>Row 181 (158)</t>
  </si>
  <si>
    <t>Row 182 (159)</t>
  </si>
  <si>
    <t>Row 183 (160)</t>
  </si>
  <si>
    <t>Row 184 (161)</t>
  </si>
  <si>
    <t>Row 185 (162)</t>
  </si>
  <si>
    <t>Row 186 (163)</t>
  </si>
  <si>
    <t>Row 187 (164)</t>
  </si>
  <si>
    <t>Row 188 (165)</t>
  </si>
  <si>
    <t>Row 189 (166)</t>
  </si>
  <si>
    <t>Row 190 (167)</t>
  </si>
  <si>
    <t>Row 191 (168)</t>
  </si>
  <si>
    <t>Row 192 (169)</t>
  </si>
  <si>
    <t>Row 193 (170)</t>
  </si>
  <si>
    <t>Row 194 (171)</t>
  </si>
  <si>
    <t>Row 195 (172)</t>
  </si>
  <si>
    <t>Row 196 (173)</t>
  </si>
  <si>
    <t>Row 197 (174)</t>
  </si>
  <si>
    <t>Row 198 (175)</t>
  </si>
  <si>
    <t>Row 199 (176)</t>
  </si>
  <si>
    <t>Row 200 (177)</t>
  </si>
  <si>
    <t>Row 201 (178)</t>
  </si>
  <si>
    <t>Row 202 (179)</t>
  </si>
  <si>
    <t>Row 203 (180)</t>
  </si>
  <si>
    <t>Row 204 (181)</t>
  </si>
  <si>
    <t>Row 205 (182)</t>
  </si>
  <si>
    <t>Row 206 (183)</t>
  </si>
  <si>
    <t>Row 207 (184)</t>
  </si>
  <si>
    <t>Row 208 (185)</t>
  </si>
  <si>
    <t>Row 209 (186)</t>
  </si>
  <si>
    <t>Row 210 (187)</t>
  </si>
  <si>
    <t>Row 211 (188)</t>
  </si>
  <si>
    <t>Row 212 (189)</t>
  </si>
  <si>
    <t>Row 213 (190)</t>
  </si>
  <si>
    <t>Row 214 (191)</t>
  </si>
  <si>
    <t>Row 215 (192)</t>
  </si>
  <si>
    <t>Row 216 (193)</t>
  </si>
  <si>
    <t>Row 217 (194)</t>
  </si>
  <si>
    <t>Row 218 (195)</t>
  </si>
  <si>
    <t>Row 219 (196)</t>
  </si>
  <si>
    <t>Row 220 (197)</t>
  </si>
  <si>
    <t>Row 221 (198)</t>
  </si>
  <si>
    <t>Row 222 (199)</t>
  </si>
  <si>
    <t>Row 223 (200)</t>
  </si>
  <si>
    <t>Row 224 (201)</t>
  </si>
  <si>
    <t>Row 225 (202)</t>
  </si>
  <si>
    <t>Row 226 (203)</t>
  </si>
  <si>
    <t>Row 227 (204)</t>
  </si>
  <si>
    <t>Row 228 (205)</t>
  </si>
  <si>
    <t>Row 229 (206)</t>
  </si>
  <si>
    <t>Row 230 (207)</t>
  </si>
  <si>
    <t>Row 231 (208)</t>
  </si>
  <si>
    <t>Row 232 (209)</t>
  </si>
  <si>
    <t>Row 233 (210)</t>
  </si>
  <si>
    <t>Row 234 (211)</t>
  </si>
  <si>
    <t>Row 235 (212)</t>
  </si>
  <si>
    <t>Row 236 (213)</t>
  </si>
  <si>
    <t>Row 237 (214)</t>
  </si>
  <si>
    <t>Row 238 (215)</t>
  </si>
  <si>
    <t>Row 239 (216)</t>
  </si>
  <si>
    <t>Row 240 (217)</t>
  </si>
  <si>
    <t>Row 241 (218)</t>
  </si>
  <si>
    <t>Row 242 (219)</t>
  </si>
  <si>
    <t>Row 243 (220)</t>
  </si>
  <si>
    <t>Row 244 (221)</t>
  </si>
  <si>
    <t>Row 245 (222)</t>
  </si>
  <si>
    <t>Row 246 (223)</t>
  </si>
  <si>
    <t>Row 247 (224)</t>
  </si>
  <si>
    <t>Row 248 (225)</t>
  </si>
  <si>
    <t>Row 249 (226)</t>
  </si>
  <si>
    <t>Row 250 (227)</t>
  </si>
  <si>
    <t>Row 251 (228)</t>
  </si>
  <si>
    <t>Row 252 (229)</t>
  </si>
  <si>
    <t>Row 253 (230)</t>
  </si>
  <si>
    <t>Row 254 (231)</t>
  </si>
  <si>
    <t>Row 255 (232)</t>
  </si>
  <si>
    <t>Row 256 (233)</t>
  </si>
  <si>
    <t>Row 257 (234)</t>
  </si>
  <si>
    <t>Row 258 (235)</t>
  </si>
  <si>
    <t>Row 259 (236)</t>
  </si>
  <si>
    <t>Row 260 (237)</t>
  </si>
  <si>
    <t>Row 261 (238)</t>
  </si>
  <si>
    <t>Row 262 (239)</t>
  </si>
  <si>
    <t>Row 263 (240)</t>
  </si>
  <si>
    <t>Row 264 (241)</t>
  </si>
  <si>
    <t>Row 265 (242)</t>
  </si>
  <si>
    <t>Row 266 (243)</t>
  </si>
  <si>
    <t>Row 267 (244)</t>
  </si>
  <si>
    <t>Row 268 (245)</t>
  </si>
  <si>
    <t>Row 269 (246)</t>
  </si>
  <si>
    <t>Row 270 (247)</t>
  </si>
  <si>
    <t>Row 271 (248)</t>
  </si>
  <si>
    <t>Row 272 (249)</t>
  </si>
  <si>
    <t>Row 273 (250)</t>
  </si>
  <si>
    <t>Row 274 (251)</t>
  </si>
  <si>
    <t>Row 275 (252)</t>
  </si>
  <si>
    <t>Row 276 (253)</t>
  </si>
  <si>
    <t>Row 277 (254)</t>
  </si>
  <si>
    <t>Row 278 (255)</t>
  </si>
  <si>
    <t>Row 279 (256)</t>
  </si>
  <si>
    <t>Row 280 (257)</t>
  </si>
  <si>
    <t>Row 281 (258)</t>
  </si>
  <si>
    <t>Row 282 (259)</t>
  </si>
  <si>
    <t>Row 283 (260)</t>
  </si>
  <si>
    <t>Row 284 (261)</t>
  </si>
  <si>
    <t>Row 285 (262)</t>
  </si>
  <si>
    <t>Row 286 (263)</t>
  </si>
  <si>
    <t>Row 287 (264)</t>
  </si>
  <si>
    <t>Row 288 (265)</t>
  </si>
  <si>
    <t>Row 289 (266)</t>
  </si>
  <si>
    <t>Row 290 (267)</t>
  </si>
  <si>
    <t>Row 291 (268)</t>
  </si>
  <si>
    <t>Row 292 (269)</t>
  </si>
  <si>
    <t>Row 293 (270)</t>
  </si>
  <si>
    <t>Row 294 (271)</t>
  </si>
  <si>
    <t>Row 295 (272)</t>
  </si>
  <si>
    <t>Row 296 (273)</t>
  </si>
  <si>
    <t>Row 297 (274)</t>
  </si>
  <si>
    <t>Row 298 (275)</t>
  </si>
  <si>
    <t>Row 299 (276)</t>
  </si>
  <si>
    <t>Row 300 (277)</t>
  </si>
  <si>
    <t>Row 301 (278)</t>
  </si>
  <si>
    <t>Row 302 (279)</t>
  </si>
  <si>
    <t>Row 303 (280)</t>
  </si>
  <si>
    <t>Row 304 (281)</t>
  </si>
  <si>
    <t>Row 305 (282)</t>
  </si>
  <si>
    <t>Row 306 (283)</t>
  </si>
  <si>
    <t>Row 307 (284)</t>
  </si>
  <si>
    <t>Row 308 (285)</t>
  </si>
  <si>
    <t>Row 309 (286)</t>
  </si>
  <si>
    <t>Row 310 (287)</t>
  </si>
  <si>
    <t>Row 311 (288)</t>
  </si>
  <si>
    <t>Row 312 (289)</t>
  </si>
  <si>
    <t>Row 313 (290)</t>
  </si>
  <si>
    <t>Row 314 (291)</t>
  </si>
  <si>
    <t>Row 315 (292)</t>
  </si>
  <si>
    <t>Row 316 (293)</t>
  </si>
  <si>
    <t>Row 317 (294)</t>
  </si>
  <si>
    <t>Row 318 (295)</t>
  </si>
  <si>
    <t>Row 319 (296)</t>
  </si>
  <si>
    <t>Row 320 (297)</t>
  </si>
  <si>
    <t>Row 321 (298)</t>
  </si>
  <si>
    <t>Row 322 (299)</t>
  </si>
  <si>
    <t>Row 323 (300)</t>
  </si>
  <si>
    <t>Row 324 (301)</t>
  </si>
  <si>
    <t>Row 325 (302)</t>
  </si>
  <si>
    <t>Row 326 (303)</t>
  </si>
  <si>
    <t>Row 327 (304)</t>
  </si>
  <si>
    <t>Row 328 (305)</t>
  </si>
  <si>
    <t>Row 329 (306)</t>
  </si>
  <si>
    <t>Row 330 (307)</t>
  </si>
  <si>
    <t>Row 331 (308)</t>
  </si>
  <si>
    <t>Row 332 (309)</t>
  </si>
  <si>
    <t>Row 333 (310)</t>
  </si>
  <si>
    <t>Row 334 (311)</t>
  </si>
  <si>
    <t>Row 335 (312)</t>
  </si>
  <si>
    <t>Row 336 (313)</t>
  </si>
  <si>
    <t>Row 337 (314)</t>
  </si>
  <si>
    <t>Row 338 (315)</t>
  </si>
  <si>
    <t>Row 339 (316)</t>
  </si>
  <si>
    <t>Row 340 (317)</t>
  </si>
  <si>
    <t>Row 341 (318)</t>
  </si>
  <si>
    <t>Row 342 (319)</t>
  </si>
  <si>
    <t>Row 343 (320)</t>
  </si>
  <si>
    <t>Row 344 (321)</t>
  </si>
  <si>
    <t>Row 345 (322)</t>
  </si>
  <si>
    <t>Row 346 (323)</t>
  </si>
  <si>
    <t>Row 347 (324)</t>
  </si>
  <si>
    <t>Row 348 (325)</t>
  </si>
  <si>
    <t>Row 349 (326)</t>
  </si>
  <si>
    <t>Row 350 (327)</t>
  </si>
  <si>
    <t>Row 351 (328)</t>
  </si>
  <si>
    <t>Row 352 (329)</t>
  </si>
  <si>
    <t>Row 353 (330)</t>
  </si>
  <si>
    <t>Row 354 (331)</t>
  </si>
  <si>
    <t>Row 355 (332)</t>
  </si>
  <si>
    <t>Row 356 (333)</t>
  </si>
  <si>
    <t>Row 357 (334)</t>
  </si>
  <si>
    <t>Row 358 (335)</t>
  </si>
  <si>
    <t>Row 359 (336)</t>
  </si>
  <si>
    <t>Row 360 (337)</t>
  </si>
  <si>
    <t>Row 361 (338)</t>
  </si>
  <si>
    <t>Row 362 (339)</t>
  </si>
  <si>
    <t>Row 363 (340)</t>
  </si>
  <si>
    <t>Row 364 (341)</t>
  </si>
  <si>
    <t>Row 365 (342)</t>
  </si>
  <si>
    <t>Row 366 (343)</t>
  </si>
  <si>
    <t>Row 367 (344)</t>
  </si>
  <si>
    <t>Row 368 (345)</t>
  </si>
  <si>
    <t>Row 369 (346)</t>
  </si>
  <si>
    <t>Row 370 (347)</t>
  </si>
  <si>
    <t>Row 371 (348)</t>
  </si>
  <si>
    <t>Row 372 (349)</t>
  </si>
  <si>
    <t>Row 373 (350)</t>
  </si>
  <si>
    <t>Row 374 (351)</t>
  </si>
  <si>
    <t>Row 375 (352)</t>
  </si>
  <si>
    <t>Row 376 (353)</t>
  </si>
  <si>
    <t>Row 377 (354)</t>
  </si>
  <si>
    <t>Row 378 (355)</t>
  </si>
  <si>
    <t>Row 379 (356)</t>
  </si>
  <si>
    <t>Row 380 (357)</t>
  </si>
  <si>
    <t>Row 381 (358)</t>
  </si>
  <si>
    <t>Row 382 (359)</t>
  </si>
  <si>
    <t>Row 383 (360)</t>
  </si>
  <si>
    <t>Row 384 (361)</t>
  </si>
  <si>
    <t>Row 385 (362)</t>
  </si>
  <si>
    <t>Row 386 (363)</t>
  </si>
  <si>
    <t>Row 387 (364)</t>
  </si>
  <si>
    <t>Row 388 (365)</t>
  </si>
  <si>
    <t>Row 389 (366)</t>
  </si>
  <si>
    <t>Row 390 (367)</t>
  </si>
  <si>
    <t>Row 391 (368)</t>
  </si>
  <si>
    <t>Row 392 (369)</t>
  </si>
  <si>
    <t>Row 393 (370)</t>
  </si>
  <si>
    <t>Row 394 (371)</t>
  </si>
  <si>
    <t>Row 395 (372)</t>
  </si>
  <si>
    <t>Row 396 (373)</t>
  </si>
  <si>
    <t>Row 397 (374)</t>
  </si>
  <si>
    <t>Row 398 (375)</t>
  </si>
  <si>
    <t>Row 399 (376)</t>
  </si>
  <si>
    <t>Row 400 (377)</t>
  </si>
  <si>
    <t>Row 401 (378)</t>
  </si>
  <si>
    <t>Row 402 (379)</t>
  </si>
  <si>
    <t>Row 403 (380)</t>
  </si>
  <si>
    <t>Row 404 (381)</t>
  </si>
  <si>
    <t>Row 405 (382)</t>
  </si>
  <si>
    <t>Row 406 (383)</t>
  </si>
  <si>
    <t>Row 407 (384)</t>
  </si>
  <si>
    <t>Row 408 (385)</t>
  </si>
  <si>
    <t>Row 409 (386)</t>
  </si>
  <si>
    <t>Row 410 (387)</t>
  </si>
  <si>
    <t>Row 411 (388)</t>
  </si>
  <si>
    <t>Row 412 (389)</t>
  </si>
  <si>
    <t>Row 413 (390)</t>
  </si>
  <si>
    <t>Row 414 (391)</t>
  </si>
  <si>
    <t>Row 415 (392)</t>
  </si>
  <si>
    <t>Row 416 (393)</t>
  </si>
  <si>
    <t>Row 417 (394)</t>
  </si>
  <si>
    <t>Row 418 (395)</t>
  </si>
  <si>
    <t>Row 419 (396)</t>
  </si>
  <si>
    <t>Row 420 (397)</t>
  </si>
  <si>
    <t>Row 421 (398)</t>
  </si>
  <si>
    <t>Row 422 (399)</t>
  </si>
  <si>
    <t>Row 423 (400)</t>
  </si>
  <si>
    <t>Row 424 (401)</t>
  </si>
  <si>
    <t>Row 425 (402)</t>
  </si>
  <si>
    <t>Row 426 (403)</t>
  </si>
  <si>
    <t>Row 427 (404)</t>
  </si>
  <si>
    <t>Row 428 (405)</t>
  </si>
  <si>
    <t>Row 429 (406)</t>
  </si>
  <si>
    <t>Row 430 (407)</t>
  </si>
  <si>
    <t>Row 431 (408)</t>
  </si>
  <si>
    <t>Row 432 (409)</t>
  </si>
  <si>
    <t>Row 433 (410)</t>
  </si>
  <si>
    <t>Row 434 (411)</t>
  </si>
  <si>
    <t>Row 435 (412)</t>
  </si>
  <si>
    <t>Row 436 (413)</t>
  </si>
  <si>
    <t>Row 437 (414)</t>
  </si>
  <si>
    <t>Row 438 (415)</t>
  </si>
  <si>
    <t>Row 439 (416)</t>
  </si>
  <si>
    <t>Row 440 (417)</t>
  </si>
  <si>
    <t>Row 441 (418)</t>
  </si>
  <si>
    <t>Row 442 (419)</t>
  </si>
  <si>
    <t>Row 443 (420)</t>
  </si>
  <si>
    <t>Row 444 (421)</t>
  </si>
  <si>
    <t>Row 445 (422)</t>
  </si>
  <si>
    <t>Row 446 (423)</t>
  </si>
  <si>
    <t>Row 447 (424)</t>
  </si>
  <si>
    <t>Row 448 (425)</t>
  </si>
  <si>
    <t>Row 449 (426)</t>
  </si>
  <si>
    <t>Row 450 (427)</t>
  </si>
  <si>
    <t>Row 451 (428)</t>
  </si>
  <si>
    <t>Row 452 (429)</t>
  </si>
  <si>
    <t>Row 453 (430)</t>
  </si>
  <si>
    <t>Row 454 (431)</t>
  </si>
  <si>
    <t>Row 455 (432)</t>
  </si>
  <si>
    <t>Row 456 (433)</t>
  </si>
  <si>
    <t>Row 457 (434)</t>
  </si>
  <si>
    <t>Row 458 (435)</t>
  </si>
  <si>
    <t>Row 459 (436)</t>
  </si>
  <si>
    <t>Row 460 (437)</t>
  </si>
  <si>
    <t>Row 461 (438)</t>
  </si>
  <si>
    <t>Row 462 (439)</t>
  </si>
  <si>
    <t>Row 463 (440)</t>
  </si>
  <si>
    <t>Row 464 (441)</t>
  </si>
  <si>
    <t>Row 465 (442)</t>
  </si>
  <si>
    <t>Row 466 (443)</t>
  </si>
  <si>
    <t>Row 467 (444)</t>
  </si>
  <si>
    <t>Row 468 (445)</t>
  </si>
  <si>
    <t>Row 469 (446)</t>
  </si>
  <si>
    <t>Row 470 (447)</t>
  </si>
  <si>
    <t>Row 471 (448)</t>
  </si>
  <si>
    <t>Row 472 (449)</t>
  </si>
  <si>
    <t>Row 473 (450)</t>
  </si>
  <si>
    <t>Row 474 (451)</t>
  </si>
  <si>
    <t>Row 475 (452)</t>
  </si>
  <si>
    <t>Row 476 (453)</t>
  </si>
  <si>
    <t>Row 477 (454)</t>
  </si>
  <si>
    <t>Row 478 (455)</t>
  </si>
  <si>
    <t>Row 479 (456)</t>
  </si>
  <si>
    <t>Row 480 (457)</t>
  </si>
  <si>
    <t>Row 481 (458)</t>
  </si>
  <si>
    <t>Row 482 (459)</t>
  </si>
  <si>
    <t>Row 483 (460)</t>
  </si>
  <si>
    <t>Row 484 (461)</t>
  </si>
  <si>
    <t>Row 485 (462)</t>
  </si>
  <si>
    <t>Row 486 (463)</t>
  </si>
  <si>
    <t>Row 487 (464)</t>
  </si>
  <si>
    <t>Row 488 (465)</t>
  </si>
  <si>
    <t>Row 489 (466)</t>
  </si>
  <si>
    <t>Row 490 (467)</t>
  </si>
  <si>
    <t>Row 491 (468)</t>
  </si>
  <si>
    <t>Row 492 (469)</t>
  </si>
  <si>
    <t>Row 493 (470)</t>
  </si>
  <si>
    <t>Row 494 (471)</t>
  </si>
  <si>
    <t>Row 495 (472)</t>
  </si>
  <si>
    <t>Row 496 (473)</t>
  </si>
  <si>
    <t>Row 497 (474)</t>
  </si>
  <si>
    <t>Row 498 (475)</t>
  </si>
  <si>
    <t>Row 499 (476)</t>
  </si>
  <si>
    <t>Row 500 (477)</t>
  </si>
  <si>
    <t>Row 501 (478)</t>
  </si>
  <si>
    <t>Row 502 (479)</t>
  </si>
  <si>
    <t>Row 503 (480)</t>
  </si>
  <si>
    <t>Row 504 (481)</t>
  </si>
  <si>
    <t>Row 505 (482)</t>
  </si>
  <si>
    <t>Row 506 (483)</t>
  </si>
  <si>
    <t>Row 507 (484)</t>
  </si>
  <si>
    <t>Row 508 (485)</t>
  </si>
  <si>
    <t>Row 509 (486)</t>
  </si>
  <si>
    <t>Row 510 (487)</t>
  </si>
  <si>
    <t>Row 511 (488)</t>
  </si>
  <si>
    <t>Row 512 (489)</t>
  </si>
  <si>
    <t>Row 513 (490)</t>
  </si>
  <si>
    <t>Row 514 (491)</t>
  </si>
  <si>
    <t>Row 515 (492)</t>
  </si>
  <si>
    <t>Row 516 (493)</t>
  </si>
  <si>
    <t>Row 517 (494)</t>
  </si>
  <si>
    <t>Row 518 (495)</t>
  </si>
  <si>
    <t>Row 519 (496)</t>
  </si>
  <si>
    <t>Row 520 (497)</t>
  </si>
  <si>
    <t>Row 521 (498)</t>
  </si>
  <si>
    <t>Row 522 (499)</t>
  </si>
  <si>
    <t>Row 523 (500)</t>
  </si>
  <si>
    <t>Outcome (L)</t>
  </si>
  <si>
    <t xml:space="preserve"> Row &amp; Trade</t>
  </si>
  <si>
    <t>Payoff Ratio OR R/R</t>
  </si>
  <si>
    <t>Richard Bach (1936-, American Author)</t>
  </si>
  <si>
    <t>Expect Victory And You Make Victory.</t>
  </si>
  <si>
    <t>(1926-, American Businessman, Co-Founder Of Amway Corp.)</t>
  </si>
  <si>
    <t>Thomas Fuller (1608-1661, British Clergyman, Author)</t>
  </si>
  <si>
    <t>George Robert Gissing (1857-1903, British Novelist, Critic, Essayist)</t>
  </si>
  <si>
    <t>Wayne Gretzky (1961-, Canadian Hockey Player)</t>
  </si>
  <si>
    <t>John Pierpont Morgan (1837-1913, American Banker, Financier, Art Collector)</t>
  </si>
  <si>
    <t>May Sarton (1912-1995, American Poet, Novelist)</t>
  </si>
  <si>
    <t>Denis Waitley (1933-, American Author, Speaker, Trainer, Peak Performance Expert)</t>
  </si>
  <si>
    <t>"In Order To Win, You Must Expect To Win."</t>
  </si>
  <si>
    <t>"Life... It Tends To Respond To Our Outlook, To Shape</t>
  </si>
  <si>
    <t>Itself To Meet Our Expectations."</t>
  </si>
  <si>
    <t>"Good Is Not Good, When Better Is Expected."</t>
  </si>
  <si>
    <t>"Persistent Prophecy Is A Familiar Way Of Assuring The Event."</t>
  </si>
  <si>
    <t>"I Skate To Where The Puck Is Going To Be, Not Where It Is."</t>
  </si>
  <si>
    <t>"Life Is Largely A Matter Of Expectation."</t>
  </si>
  <si>
    <t>Horace (BC 65-8, Italian Poet)</t>
  </si>
  <si>
    <t>"When You Expect Things To Happen -- Strangely Enough -- They Do Happen."</t>
  </si>
  <si>
    <t>"What Is Destructive Is Impatience, Haste, Expecting Too Much Too Fast."</t>
  </si>
  <si>
    <t>"Winner Expects To Win In Advance. Life Is A Self-Fulfilling Prophesy."</t>
  </si>
  <si>
    <t>"Whatever We Expect With Confidence Becomes Our Own Self-Fulfilling Prophecy."</t>
  </si>
  <si>
    <t>Brian Tracy (1944-, Canadian-born American Trainer, Speaker, Author, Businessman)</t>
  </si>
  <si>
    <t>"Expect The Best, Plan For The Worst, And Prepare To Be Surprised."</t>
  </si>
  <si>
    <t>"I Know Not Anything More Pleasant, Or More Instructive, Than To Compare</t>
  </si>
  <si>
    <t xml:space="preserve">Experience With Expectation, Or To  Register From Time To Time The </t>
  </si>
  <si>
    <t xml:space="preserve">Difference Between Idea And Reality. It Is By This Kind Of Observation </t>
  </si>
  <si>
    <t>That We  Grow Daily Less Liable To Be Disappointed."</t>
  </si>
  <si>
    <t>Start Up Page</t>
  </si>
  <si>
    <r>
      <t>Author's Website:</t>
    </r>
    <r>
      <rPr>
        <sz val="12"/>
        <color rgb="FF0000FF"/>
        <rFont val="Garamond"/>
        <family val="1"/>
      </rPr>
      <t xml:space="preserve"> </t>
    </r>
    <r>
      <rPr>
        <sz val="12"/>
        <color theme="9" tint="-0.249977111117893"/>
        <rFont val="Garamond"/>
        <family val="1"/>
      </rPr>
      <t>www.deniswaitley.com</t>
    </r>
  </si>
  <si>
    <r>
      <t xml:space="preserve">Author's Website: </t>
    </r>
    <r>
      <rPr>
        <sz val="12"/>
        <color theme="9" tint="-0.249977111117893"/>
        <rFont val="Garamond"/>
        <family val="1"/>
      </rPr>
      <t>www.briantracy.com</t>
    </r>
  </si>
  <si>
    <r>
      <rPr>
        <sz val="12"/>
        <color theme="0"/>
        <rFont val="Calibri"/>
        <family val="2"/>
      </rPr>
      <t>For More Quotations, Please Visit:</t>
    </r>
    <r>
      <rPr>
        <sz val="11"/>
        <color rgb="FFD5AC3A"/>
        <rFont val="Calibri"/>
        <family val="2"/>
      </rPr>
      <t xml:space="preserve"> </t>
    </r>
    <r>
      <rPr>
        <sz val="14"/>
        <color theme="9" tint="-0.249977111117893"/>
        <rFont val="Calibri"/>
        <family val="2"/>
      </rPr>
      <t>www.DayTradingLife.com</t>
    </r>
  </si>
  <si>
    <t xml:space="preserve">Van Tharp's Expectancy </t>
  </si>
  <si>
    <r>
      <rPr>
        <sz val="12"/>
        <color rgb="FFD5AC3A"/>
        <rFont val="Calibri"/>
        <family val="2"/>
        <scheme val="minor"/>
      </rPr>
      <t>Long Version:</t>
    </r>
    <r>
      <rPr>
        <sz val="12"/>
        <color theme="0"/>
        <rFont val="Calibri"/>
        <family val="2"/>
        <scheme val="minor"/>
      </rPr>
      <t xml:space="preserve"> Expectancy? It Is Your Average Win Rate * Average Amount Won – Average Loss Rate * Average Amount Lost = Expectancy, Or; Your Average Expected Profit (Or Loss) Per Trade Taken.</t>
    </r>
  </si>
  <si>
    <r>
      <rPr>
        <sz val="12"/>
        <color rgb="FFD5AC3A"/>
        <rFont val="Calibri"/>
        <family val="2"/>
        <scheme val="minor"/>
      </rPr>
      <t xml:space="preserve"> Short Version:</t>
    </r>
    <r>
      <rPr>
        <sz val="12"/>
        <color theme="0"/>
        <rFont val="Calibri"/>
        <family val="2"/>
        <scheme val="minor"/>
      </rPr>
      <t xml:space="preserve"> "Expectancy Is Simply The Mean Or Average R-Multiple Generated."</t>
    </r>
  </si>
  <si>
    <t>"In The Real World Of Investing Or Trading, Expectancy Tells You The Net Profit Or Loss That You Can Expect Over A Large Number Of Single-Unit Trades. If The Total Amount Of Losing Trades Is Greater Than The Total Amount Of Winning Trades, Then You Are A Net Loser &amp; Have A Negative Expectancy. If The Total Amount Of Winning Trades Is Greater Than The Total Amount Of Losing Trades, Then You Are A Net Winner &amp; Have A Positive Expectancy."</t>
  </si>
  <si>
    <t>Dr. Van Tharp (Page 135 - Trade Your Way To Financial Freedom).</t>
  </si>
  <si>
    <r>
      <t xml:space="preserve">Click Start To Start </t>
    </r>
    <r>
      <rPr>
        <sz val="14"/>
        <color theme="0"/>
        <rFont val="Calibri"/>
        <family val="2"/>
        <scheme val="minor"/>
      </rPr>
      <t>:-)</t>
    </r>
  </si>
  <si>
    <r>
      <rPr>
        <sz val="10"/>
        <color theme="0"/>
        <rFont val="Tahoma"/>
        <family val="2"/>
      </rPr>
      <t xml:space="preserve">Copyright </t>
    </r>
    <r>
      <rPr>
        <sz val="10"/>
        <color rgb="FFC8A02D"/>
        <rFont val="Tahoma"/>
        <family val="2"/>
      </rPr>
      <t>©</t>
    </r>
    <r>
      <rPr>
        <sz val="10"/>
        <color theme="0"/>
        <rFont val="Tahoma"/>
        <family val="2"/>
      </rPr>
      <t xml:space="preserve"> 2011-2012 - DayTradingLife.com. - All rights reserved.</t>
    </r>
  </si>
  <si>
    <r>
      <t xml:space="preserve">"A Must Read, A Timeless Classic, By The </t>
    </r>
    <r>
      <rPr>
        <i/>
        <sz val="14"/>
        <color theme="0"/>
        <rFont val="Calibri"/>
        <family val="2"/>
        <scheme val="minor"/>
      </rPr>
      <t>'Position Sizing'</t>
    </r>
    <r>
      <rPr>
        <sz val="14"/>
        <color theme="0"/>
        <rFont val="Calibri"/>
        <family val="2"/>
        <scheme val="minor"/>
      </rPr>
      <t xml:space="preserve"> Master." - </t>
    </r>
    <r>
      <rPr>
        <sz val="14"/>
        <color theme="9" tint="-0.249977111117893"/>
        <rFont val="Calibri"/>
        <family val="2"/>
        <scheme val="minor"/>
      </rPr>
      <t>Dow-Boy</t>
    </r>
  </si>
  <si>
    <t>Instructions - How To</t>
  </si>
  <si>
    <r>
      <t xml:space="preserve">This document </t>
    </r>
    <r>
      <rPr>
        <sz val="10"/>
        <color theme="6" tint="0.39997558519241921"/>
        <rFont val="Tahoma"/>
        <family val="2"/>
      </rPr>
      <t>maybe</t>
    </r>
    <r>
      <rPr>
        <sz val="10"/>
        <color theme="0"/>
        <rFont val="Tahoma"/>
        <family val="2"/>
      </rPr>
      <t xml:space="preserve"> be republished &amp; distributed under the proviso that it cannot be altered or amended In Anyway.</t>
    </r>
  </si>
  <si>
    <t>Random.ORG</t>
  </si>
  <si>
    <r>
      <t xml:space="preserve">Trade System Expectancy - </t>
    </r>
    <r>
      <rPr>
        <i/>
        <u/>
        <sz val="14"/>
        <rFont val="Calibri"/>
        <family val="2"/>
        <scheme val="minor"/>
      </rPr>
      <t>'Random.ORG'</t>
    </r>
    <r>
      <rPr>
        <u/>
        <sz val="14"/>
        <rFont val="Calibri"/>
        <family val="2"/>
        <scheme val="minor"/>
      </rPr>
      <t xml:space="preserve">  Simulator v1.01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</si>
</sst>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quot;£&quot;#,##0.00"/>
    <numFmt numFmtId="165" formatCode="_(* #,##0_);_(* \(#,##0\);_(* &quot;-&quot;_);_(@_)"/>
    <numFmt numFmtId="166" formatCode="0.0%"/>
    <numFmt numFmtId="167" formatCode="0.000%"/>
    <numFmt numFmtId="168" formatCode="&quot;£&quot;#,##0"/>
  </numFmts>
  <fonts count="93">
    <font>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0"/>
      <name val="Times New Roman"/>
      <family val="1"/>
    </font>
    <font>
      <sz val="9"/>
      <color indexed="13"/>
      <name val="Arial"/>
      <family val="2"/>
    </font>
    <font>
      <b/>
      <sz val="13"/>
      <color theme="1"/>
      <name val="Calibri"/>
      <family val="2"/>
      <scheme val="minor"/>
    </font>
    <font>
      <b/>
      <sz val="13"/>
      <name val="Calibri"/>
      <family val="2"/>
      <scheme val="minor"/>
    </font>
    <font>
      <sz val="12"/>
      <name val="Calibri"/>
      <family val="2"/>
      <scheme val="minor"/>
    </font>
    <font>
      <b/>
      <sz val="13"/>
      <color rgb="FFFF0000"/>
      <name val="Calibri"/>
      <family val="2"/>
      <scheme val="minor"/>
    </font>
    <font>
      <b/>
      <sz val="12"/>
      <name val="Calibri"/>
      <family val="2"/>
      <scheme val="minor"/>
    </font>
    <font>
      <u/>
      <sz val="11"/>
      <color rgb="FFFF0000"/>
      <name val="Calibri"/>
      <family val="2"/>
      <scheme val="minor"/>
    </font>
    <font>
      <sz val="24"/>
      <color theme="1"/>
      <name val="Calibri"/>
      <family val="2"/>
      <scheme val="minor"/>
    </font>
    <font>
      <sz val="12"/>
      <color rgb="FFFF0000"/>
      <name val="Calibri"/>
      <family val="2"/>
      <scheme val="minor"/>
    </font>
    <font>
      <b/>
      <i/>
      <sz val="12"/>
      <color rgb="FF0000FF"/>
      <name val="Calibri"/>
      <family val="2"/>
      <scheme val="minor"/>
    </font>
    <font>
      <b/>
      <sz val="13"/>
      <color indexed="10"/>
      <name val="Calibri"/>
      <family val="2"/>
      <scheme val="minor"/>
    </font>
    <font>
      <b/>
      <sz val="12"/>
      <color indexed="10"/>
      <name val="Calibri"/>
      <family val="2"/>
      <scheme val="minor"/>
    </font>
    <font>
      <b/>
      <sz val="12"/>
      <color indexed="57"/>
      <name val="Calibri"/>
      <family val="2"/>
      <scheme val="minor"/>
    </font>
    <font>
      <b/>
      <sz val="10"/>
      <color rgb="FFD5AC3A"/>
      <name val="Arial"/>
      <family val="2"/>
    </font>
    <font>
      <b/>
      <sz val="10"/>
      <name val="Times New Roman"/>
      <family val="1"/>
    </font>
    <font>
      <u/>
      <sz val="11"/>
      <color rgb="FFC8A02D"/>
      <name val="Tahoma"/>
      <family val="2"/>
    </font>
    <font>
      <sz val="10"/>
      <color theme="0"/>
      <name val="Tahoma"/>
      <family val="2"/>
    </font>
    <font>
      <sz val="10"/>
      <color theme="1"/>
      <name val="Tahoma"/>
      <family val="2"/>
    </font>
    <font>
      <b/>
      <sz val="13"/>
      <color theme="0"/>
      <name val="Calibri"/>
      <family val="2"/>
      <scheme val="minor"/>
    </font>
    <font>
      <b/>
      <u/>
      <sz val="22"/>
      <color rgb="FFD5AC3A"/>
      <name val="Kozuka Mincho Pro B"/>
      <family val="1"/>
      <charset val="128"/>
    </font>
    <font>
      <sz val="11"/>
      <color rgb="FFD5AC3A"/>
      <name val="Calibri"/>
      <family val="2"/>
      <scheme val="minor"/>
    </font>
    <font>
      <u/>
      <sz val="11"/>
      <color rgb="FFD5AC3A"/>
      <name val="Calibri"/>
      <family val="2"/>
      <scheme val="minor"/>
    </font>
    <font>
      <sz val="12"/>
      <color theme="0"/>
      <name val="Perpetua"/>
      <family val="1"/>
    </font>
    <font>
      <b/>
      <sz val="12"/>
      <color theme="0"/>
      <name val="Calibri"/>
      <family val="2"/>
      <scheme val="minor"/>
    </font>
    <font>
      <sz val="12"/>
      <color rgb="FFD5AC3A"/>
      <name val="Calibri"/>
      <family val="2"/>
      <scheme val="minor"/>
    </font>
    <font>
      <sz val="12"/>
      <color theme="0"/>
      <name val="Garamond"/>
      <family val="1"/>
    </font>
    <font>
      <sz val="12"/>
      <color theme="0"/>
      <name val="Calibri"/>
      <family val="2"/>
      <scheme val="minor"/>
    </font>
    <font>
      <b/>
      <u/>
      <sz val="16"/>
      <color theme="0"/>
      <name val="Calibri"/>
      <family val="2"/>
      <scheme val="minor"/>
    </font>
    <font>
      <sz val="12"/>
      <color rgb="FFD5AC3A"/>
      <name val="Garamond"/>
      <family val="1"/>
    </font>
    <font>
      <u val="singleAccounting"/>
      <sz val="11"/>
      <color rgb="FFD5AC3A"/>
      <name val="Calibri"/>
      <family val="2"/>
      <scheme val="minor"/>
    </font>
    <font>
      <sz val="11"/>
      <name val="Calibri"/>
      <family val="2"/>
      <scheme val="minor"/>
    </font>
    <font>
      <sz val="14"/>
      <color theme="1"/>
      <name val="Calibri"/>
      <family val="2"/>
      <scheme val="minor"/>
    </font>
    <font>
      <u/>
      <sz val="14"/>
      <color rgb="FFD5AC3A"/>
      <name val="Arial"/>
      <family val="2"/>
    </font>
    <font>
      <sz val="10"/>
      <color theme="6" tint="0.39997558519241921"/>
      <name val="Tahoma"/>
      <family val="2"/>
    </font>
    <font>
      <u/>
      <sz val="11"/>
      <color theme="10"/>
      <name val="Calibri"/>
      <family val="2"/>
    </font>
    <font>
      <sz val="10"/>
      <color rgb="FFC8A02D"/>
      <name val="Tahoma"/>
      <family val="2"/>
    </font>
    <font>
      <sz val="12"/>
      <color rgb="FFD5AC3A"/>
      <name val="Kozuka Mincho Pro B"/>
      <family val="1"/>
      <charset val="128"/>
    </font>
    <font>
      <b/>
      <u/>
      <sz val="8"/>
      <color rgb="FFD5AC3A"/>
      <name val="Kozuka Mincho Pro B"/>
      <family val="1"/>
      <charset val="128"/>
    </font>
    <font>
      <sz val="10"/>
      <color rgb="FFD5AC3A"/>
      <name val="Arial"/>
      <family val="2"/>
    </font>
    <font>
      <sz val="10"/>
      <color theme="6" tint="0.39997558519241921"/>
      <name val="Arial"/>
      <family val="2"/>
    </font>
    <font>
      <b/>
      <sz val="11"/>
      <name val="Calibri"/>
      <family val="2"/>
      <scheme val="minor"/>
    </font>
    <font>
      <b/>
      <sz val="10"/>
      <name val="Calibri"/>
      <family val="2"/>
      <scheme val="minor"/>
    </font>
    <font>
      <b/>
      <sz val="11"/>
      <color rgb="FFC00000"/>
      <name val="Arial"/>
      <family val="2"/>
    </font>
    <font>
      <b/>
      <sz val="13"/>
      <color rgb="FFC00000"/>
      <name val="Calibri"/>
      <family val="2"/>
      <scheme val="minor"/>
    </font>
    <font>
      <sz val="13"/>
      <color rgb="FFFFFF00"/>
      <name val="Calibri"/>
      <family val="2"/>
      <scheme val="minor"/>
    </font>
    <font>
      <u/>
      <sz val="11"/>
      <color theme="0"/>
      <name val="Tahoma"/>
      <family val="2"/>
    </font>
    <font>
      <u/>
      <sz val="11"/>
      <color theme="0"/>
      <name val="Calibri"/>
      <family val="2"/>
    </font>
    <font>
      <b/>
      <u/>
      <sz val="13"/>
      <color rgb="FFC00000"/>
      <name val="Calibri"/>
      <family val="2"/>
      <scheme val="minor"/>
    </font>
    <font>
      <b/>
      <u/>
      <sz val="13"/>
      <color theme="1"/>
      <name val="Calibri"/>
      <family val="2"/>
      <scheme val="minor"/>
    </font>
    <font>
      <b/>
      <u/>
      <sz val="13"/>
      <name val="Calibri"/>
      <family val="2"/>
      <scheme val="minor"/>
    </font>
    <font>
      <u/>
      <sz val="16"/>
      <color theme="10"/>
      <name val="Calibri"/>
      <family val="2"/>
    </font>
    <font>
      <sz val="8"/>
      <color indexed="9"/>
      <name val="Tahoma"/>
      <family val="2"/>
    </font>
    <font>
      <sz val="28"/>
      <color theme="9" tint="-0.249977111117893"/>
      <name val="Tahoma"/>
      <family val="2"/>
    </font>
    <font>
      <b/>
      <sz val="8"/>
      <color indexed="53"/>
      <name val="Tahoma"/>
      <family val="2"/>
    </font>
    <font>
      <sz val="8"/>
      <color indexed="53"/>
      <name val="Tahoma"/>
      <family val="2"/>
    </font>
    <font>
      <sz val="11"/>
      <color theme="1"/>
      <name val="Calibri"/>
      <family val="2"/>
      <scheme val="minor"/>
    </font>
    <font>
      <sz val="9"/>
      <color rgb="FFD5AC3A"/>
      <name val="Calibri"/>
      <family val="2"/>
      <scheme val="minor"/>
    </font>
    <font>
      <sz val="12"/>
      <color rgb="FFFFFF00"/>
      <name val="Calibri"/>
      <family val="2"/>
      <scheme val="minor"/>
    </font>
    <font>
      <sz val="14"/>
      <color rgb="FFD5AC3A"/>
      <name val="Calibri"/>
      <family val="2"/>
      <scheme val="minor"/>
    </font>
    <font>
      <u/>
      <sz val="14"/>
      <color theme="0"/>
      <name val="Calibri"/>
      <family val="2"/>
      <scheme val="minor"/>
    </font>
    <font>
      <sz val="11"/>
      <color rgb="FFFF0000"/>
      <name val="Tahoma"/>
      <family val="2"/>
    </font>
    <font>
      <sz val="11"/>
      <color rgb="FFD5AC3A"/>
      <name val="Tahoma"/>
      <family val="2"/>
    </font>
    <font>
      <sz val="12"/>
      <color rgb="FFC00000"/>
      <name val="Calibri"/>
      <family val="2"/>
      <scheme val="minor"/>
    </font>
    <font>
      <u/>
      <sz val="14"/>
      <name val="Calibri"/>
      <family val="2"/>
      <scheme val="minor"/>
    </font>
    <font>
      <sz val="12"/>
      <color theme="1"/>
      <name val="Calibri"/>
      <family val="2"/>
      <scheme val="minor"/>
    </font>
    <font>
      <u/>
      <sz val="8"/>
      <color indexed="10"/>
      <name val="Tahoma"/>
      <family val="2"/>
    </font>
    <font>
      <sz val="8"/>
      <color indexed="10"/>
      <name val="Tahoma"/>
      <family val="2"/>
    </font>
    <font>
      <u/>
      <sz val="8"/>
      <color indexed="9"/>
      <name val="Tahoma"/>
      <family val="2"/>
    </font>
    <font>
      <i/>
      <sz val="8"/>
      <color indexed="10"/>
      <name val="Tahoma"/>
      <family val="2"/>
    </font>
    <font>
      <sz val="9"/>
      <color indexed="53"/>
      <name val="Tahoma"/>
      <family val="2"/>
    </font>
    <font>
      <u/>
      <sz val="16"/>
      <name val="Calibri"/>
      <family val="2"/>
      <scheme val="minor"/>
    </font>
    <font>
      <u/>
      <sz val="11"/>
      <color theme="0"/>
      <name val="Calibri"/>
      <family val="2"/>
      <scheme val="minor"/>
    </font>
    <font>
      <i/>
      <sz val="14"/>
      <color theme="0"/>
      <name val="Garamond"/>
      <family val="1"/>
    </font>
    <font>
      <sz val="14"/>
      <color theme="9" tint="-0.249977111117893"/>
      <name val="Calibri"/>
      <family val="2"/>
      <scheme val="minor"/>
    </font>
    <font>
      <sz val="12"/>
      <color rgb="FF0000FF"/>
      <name val="Garamond"/>
      <family val="1"/>
    </font>
    <font>
      <sz val="14"/>
      <color rgb="FFD5AC3A"/>
      <name val="Garamond"/>
      <family val="1"/>
    </font>
    <font>
      <i/>
      <sz val="14"/>
      <color theme="0"/>
      <name val="Calibri"/>
      <family val="2"/>
      <scheme val="minor"/>
    </font>
    <font>
      <sz val="12"/>
      <color theme="9" tint="-0.249977111117893"/>
      <name val="Garamond"/>
      <family val="1"/>
    </font>
    <font>
      <sz val="11"/>
      <color rgb="FFD5AC3A"/>
      <name val="Calibri"/>
      <family val="2"/>
    </font>
    <font>
      <sz val="11"/>
      <color theme="10"/>
      <name val="Calibri"/>
      <family val="2"/>
    </font>
    <font>
      <sz val="14"/>
      <color theme="9" tint="-0.249977111117893"/>
      <name val="Calibri"/>
      <family val="2"/>
    </font>
    <font>
      <sz val="12"/>
      <color theme="0"/>
      <name val="Calibri"/>
      <family val="2"/>
    </font>
    <font>
      <sz val="14"/>
      <color theme="0"/>
      <name val="Calibri"/>
      <family val="2"/>
      <scheme val="minor"/>
    </font>
    <font>
      <u val="double"/>
      <sz val="14"/>
      <color rgb="FFD5AC3A"/>
      <name val="Garamond"/>
      <family val="1"/>
    </font>
    <font>
      <i/>
      <u val="double"/>
      <sz val="14"/>
      <color rgb="FFD5AC3A"/>
      <name val="Garamond"/>
      <family val="1"/>
    </font>
    <font>
      <b/>
      <sz val="12"/>
      <color rgb="FF000000"/>
      <name val="Calibri"/>
      <family val="2"/>
    </font>
    <font>
      <b/>
      <sz val="11"/>
      <color rgb="FF000000"/>
      <name val="Calibri"/>
      <family val="2"/>
    </font>
    <font>
      <i/>
      <u/>
      <sz val="14"/>
      <name val="Calibri"/>
      <family val="2"/>
      <scheme val="minor"/>
    </font>
  </fonts>
  <fills count="16">
    <fill>
      <patternFill patternType="none"/>
    </fill>
    <fill>
      <patternFill patternType="gray125"/>
    </fill>
    <fill>
      <patternFill patternType="solid">
        <fgColor theme="1"/>
        <bgColor indexed="64"/>
      </patternFill>
    </fill>
    <fill>
      <patternFill patternType="solid">
        <fgColor indexed="8"/>
        <bgColor indexed="64"/>
      </patternFill>
    </fill>
    <fill>
      <patternFill patternType="solid">
        <fgColor rgb="FFC2D69A"/>
        <bgColor indexed="64"/>
      </patternFill>
    </fill>
    <fill>
      <patternFill patternType="solid">
        <fgColor theme="1"/>
        <bgColor auto="1"/>
      </patternFill>
    </fill>
    <fill>
      <gradientFill type="path" left="0.5" right="0.5" top="0.5" bottom="0.5">
        <stop position="0">
          <color theme="0"/>
        </stop>
        <stop position="1">
          <color theme="0" tint="-0.1490218817712943"/>
        </stop>
      </gradientFill>
    </fill>
    <fill>
      <gradientFill type="path" left="0.5" right="0.5" top="0.5" bottom="0.5">
        <stop position="0">
          <color rgb="FFFFFF99"/>
        </stop>
        <stop position="1">
          <color rgb="FFFFFF66"/>
        </stop>
      </gradientFill>
    </fill>
    <fill>
      <gradientFill type="path" left="0.5" right="0.5" top="0.5" bottom="0.5">
        <stop position="0">
          <color theme="1" tint="0.1490218817712943"/>
        </stop>
        <stop position="1">
          <color theme="1"/>
        </stop>
      </gradientFill>
    </fill>
    <fill>
      <gradientFill degree="90">
        <stop position="0">
          <color theme="3" tint="0.40000610370189521"/>
        </stop>
        <stop position="0.5">
          <color theme="3" tint="0.59999389629810485"/>
        </stop>
        <stop position="1">
          <color theme="3" tint="0.40000610370189521"/>
        </stop>
      </gradientFill>
    </fill>
    <fill>
      <gradientFill degree="90">
        <stop position="0">
          <color theme="1"/>
        </stop>
        <stop position="0.5">
          <color theme="3" tint="-0.25098422193060094"/>
        </stop>
        <stop position="1">
          <color theme="1"/>
        </stop>
      </gradientFill>
    </fill>
    <fill>
      <gradientFill degree="90">
        <stop position="0">
          <color theme="1"/>
        </stop>
        <stop position="0.5">
          <color theme="1" tint="0.1490218817712943"/>
        </stop>
        <stop position="1">
          <color theme="1"/>
        </stop>
      </gradientFill>
    </fill>
    <fill>
      <gradientFill degree="90">
        <stop position="0">
          <color theme="9" tint="-0.49803155613879818"/>
        </stop>
        <stop position="0.5">
          <color theme="9" tint="-0.25098422193060094"/>
        </stop>
        <stop position="1">
          <color theme="9" tint="-0.49803155613879818"/>
        </stop>
      </gradientFill>
    </fill>
    <fill>
      <gradientFill degree="90">
        <stop position="0">
          <color theme="1" tint="5.0965910824915313E-2"/>
        </stop>
        <stop position="0.5">
          <color theme="1" tint="0.1490218817712943"/>
        </stop>
        <stop position="1">
          <color theme="1" tint="5.0965910824915313E-2"/>
        </stop>
      </gradientFill>
    </fill>
    <fill>
      <gradientFill degree="90">
        <stop position="0">
          <color theme="3" tint="0.80001220740379042"/>
        </stop>
        <stop position="1">
          <color rgb="FF4F81BD"/>
        </stop>
      </gradientFill>
    </fill>
    <fill>
      <gradientFill degree="90">
        <stop position="0">
          <color theme="3" tint="-0.49803155613879818"/>
        </stop>
        <stop position="0.5">
          <color theme="3" tint="-0.25098422193060094"/>
        </stop>
        <stop position="1">
          <color theme="3" tint="-0.49803155613879818"/>
        </stop>
      </gradientFill>
    </fill>
  </fills>
  <borders count="175">
    <border>
      <left/>
      <right/>
      <top/>
      <bottom/>
      <diagonal/>
    </border>
    <border>
      <left/>
      <right style="double">
        <color rgb="FFD5AC3A"/>
      </right>
      <top style="thin">
        <color rgb="FFD5AC3A"/>
      </top>
      <bottom style="thin">
        <color rgb="FFD5AC3A"/>
      </bottom>
      <diagonal/>
    </border>
    <border>
      <left style="double">
        <color rgb="FFD5AC3A"/>
      </left>
      <right/>
      <top style="hair">
        <color theme="1"/>
      </top>
      <bottom style="hair">
        <color theme="1"/>
      </bottom>
      <diagonal/>
    </border>
    <border>
      <left/>
      <right style="double">
        <color rgb="FFD5AC3A"/>
      </right>
      <top/>
      <bottom/>
      <diagonal/>
    </border>
    <border>
      <left style="double">
        <color rgb="FFD5AC3A"/>
      </left>
      <right/>
      <top/>
      <bottom/>
      <diagonal/>
    </border>
    <border>
      <left style="thin">
        <color rgb="FFD5AC3A"/>
      </left>
      <right/>
      <top style="thin">
        <color rgb="FFD5AC3A"/>
      </top>
      <bottom/>
      <diagonal/>
    </border>
    <border>
      <left/>
      <right/>
      <top style="thin">
        <color rgb="FFD5AC3A"/>
      </top>
      <bottom/>
      <diagonal/>
    </border>
    <border>
      <left/>
      <right style="thin">
        <color rgb="FFD5AC3A"/>
      </right>
      <top style="thin">
        <color rgb="FFD5AC3A"/>
      </top>
      <bottom/>
      <diagonal/>
    </border>
    <border>
      <left style="thin">
        <color rgb="FFD5AC3A"/>
      </left>
      <right/>
      <top/>
      <bottom/>
      <diagonal/>
    </border>
    <border>
      <left/>
      <right style="thin">
        <color rgb="FFD5AC3A"/>
      </right>
      <top/>
      <bottom/>
      <diagonal/>
    </border>
    <border>
      <left style="thin">
        <color rgb="FFD5AC3A"/>
      </left>
      <right/>
      <top/>
      <bottom style="thin">
        <color rgb="FFD5AC3A"/>
      </bottom>
      <diagonal/>
    </border>
    <border>
      <left/>
      <right/>
      <top/>
      <bottom style="thin">
        <color rgb="FFD5AC3A"/>
      </bottom>
      <diagonal/>
    </border>
    <border>
      <left/>
      <right style="thin">
        <color rgb="FFD5AC3A"/>
      </right>
      <top/>
      <bottom style="thin">
        <color rgb="FFD5AC3A"/>
      </bottom>
      <diagonal/>
    </border>
    <border>
      <left style="double">
        <color rgb="FF0070C0"/>
      </left>
      <right/>
      <top style="double">
        <color rgb="FF0070C0"/>
      </top>
      <bottom/>
      <diagonal/>
    </border>
    <border>
      <left/>
      <right style="double">
        <color rgb="FF0070C0"/>
      </right>
      <top style="double">
        <color rgb="FF0070C0"/>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double">
        <color rgb="FFD5AC3A"/>
      </left>
      <right/>
      <top style="double">
        <color rgb="FFD5AC3A"/>
      </top>
      <bottom style="thin">
        <color rgb="FFD5AC3A"/>
      </bottom>
      <diagonal/>
    </border>
    <border>
      <left/>
      <right style="double">
        <color rgb="FFD5AC3A"/>
      </right>
      <top style="double">
        <color rgb="FFD5AC3A"/>
      </top>
      <bottom style="thin">
        <color rgb="FFD5AC3A"/>
      </bottom>
      <diagonal/>
    </border>
    <border>
      <left style="double">
        <color rgb="FFD5AC3A"/>
      </left>
      <right/>
      <top style="thin">
        <color rgb="FFD5AC3A"/>
      </top>
      <bottom style="thin">
        <color rgb="FFD5AC3A"/>
      </bottom>
      <diagonal/>
    </border>
    <border>
      <left style="double">
        <color rgb="FFD5AC3A"/>
      </left>
      <right/>
      <top style="thin">
        <color rgb="FFD5AC3A"/>
      </top>
      <bottom style="double">
        <color rgb="FFD5AC3A"/>
      </bottom>
      <diagonal/>
    </border>
    <border>
      <left/>
      <right/>
      <top style="thin">
        <color rgb="FFD5AC3A"/>
      </top>
      <bottom style="double">
        <color rgb="FFD5AC3A"/>
      </bottom>
      <diagonal/>
    </border>
    <border>
      <left/>
      <right/>
      <top style="thin">
        <color rgb="FFD5AC3A"/>
      </top>
      <bottom style="thin">
        <color rgb="FFD5AC3A"/>
      </bottom>
      <diagonal/>
    </border>
    <border>
      <left style="double">
        <color rgb="FFC00000"/>
      </left>
      <right/>
      <top style="double">
        <color rgb="FFC00000"/>
      </top>
      <bottom style="double">
        <color rgb="FFC00000"/>
      </bottom>
      <diagonal/>
    </border>
    <border>
      <left/>
      <right style="double">
        <color rgb="FFC00000"/>
      </right>
      <top style="double">
        <color rgb="FFC00000"/>
      </top>
      <bottom style="double">
        <color rgb="FFC00000"/>
      </bottom>
      <diagonal/>
    </border>
    <border>
      <left/>
      <right/>
      <top style="double">
        <color rgb="FFC00000"/>
      </top>
      <bottom style="double">
        <color rgb="FFC00000"/>
      </bottom>
      <diagonal/>
    </border>
    <border>
      <left style="double">
        <color rgb="FFD5AC3A"/>
      </left>
      <right/>
      <top style="double">
        <color rgb="FFD5AC3A"/>
      </top>
      <bottom style="double">
        <color rgb="FFD5AC3A"/>
      </bottom>
      <diagonal/>
    </border>
    <border>
      <left/>
      <right style="double">
        <color rgb="FFD5AC3A"/>
      </right>
      <top style="double">
        <color rgb="FFD5AC3A"/>
      </top>
      <bottom style="double">
        <color rgb="FFD5AC3A"/>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style="thick">
        <color rgb="FFD5AC3A"/>
      </bottom>
      <diagonal/>
    </border>
    <border>
      <left style="double">
        <color rgb="FFD5AC3A"/>
      </left>
      <right style="thick">
        <color rgb="FFD5AC3A"/>
      </right>
      <top/>
      <bottom style="hair">
        <color auto="1"/>
      </bottom>
      <diagonal/>
    </border>
    <border>
      <left/>
      <right style="double">
        <color rgb="FFD5AC3A"/>
      </right>
      <top style="hair">
        <color theme="1"/>
      </top>
      <bottom style="hair">
        <color theme="1"/>
      </bottom>
      <diagonal/>
    </border>
    <border>
      <left style="double">
        <color rgb="FFD5AC3A"/>
      </left>
      <right/>
      <top style="double">
        <color rgb="FFD5AC3A"/>
      </top>
      <bottom/>
      <diagonal/>
    </border>
    <border>
      <left/>
      <right style="double">
        <color rgb="FFD5AC3A"/>
      </right>
      <top style="double">
        <color rgb="FFD5AC3A"/>
      </top>
      <bottom/>
      <diagonal/>
    </border>
    <border>
      <left/>
      <right style="double">
        <color rgb="FF0070C0"/>
      </right>
      <top style="thin">
        <color rgb="FFD5AC3A"/>
      </top>
      <bottom style="thin">
        <color rgb="FFD5AC3A"/>
      </bottom>
      <diagonal/>
    </border>
    <border>
      <left style="double">
        <color rgb="FF0070C0"/>
      </left>
      <right style="double">
        <color rgb="FFD5AC3A"/>
      </right>
      <top style="thin">
        <color rgb="FFD5AC3A"/>
      </top>
      <bottom style="thin">
        <color rgb="FFD5AC3A"/>
      </bottom>
      <diagonal/>
    </border>
    <border>
      <left/>
      <right style="double">
        <color rgb="FF0070C0"/>
      </right>
      <top style="thin">
        <color rgb="FFD5AC3A"/>
      </top>
      <bottom style="double">
        <color rgb="FFD5AC3A"/>
      </bottom>
      <diagonal/>
    </border>
    <border>
      <left style="double">
        <color rgb="FF0070C0"/>
      </left>
      <right style="double">
        <color rgb="FFD5AC3A"/>
      </right>
      <top style="thin">
        <color rgb="FFD5AC3A"/>
      </top>
      <bottom style="double">
        <color rgb="FFD5AC3A"/>
      </bottom>
      <diagonal/>
    </border>
    <border>
      <left style="double">
        <color rgb="FFD5AC3A"/>
      </left>
      <right style="thick">
        <color rgb="FFD5AC3A"/>
      </right>
      <top/>
      <bottom/>
      <diagonal/>
    </border>
    <border>
      <left/>
      <right/>
      <top style="double">
        <color rgb="FFD5AC3A"/>
      </top>
      <bottom style="double">
        <color rgb="FFD5AC3A"/>
      </bottom>
      <diagonal/>
    </border>
    <border>
      <left style="double">
        <color rgb="FFD5AC3A"/>
      </left>
      <right style="thick">
        <color rgb="FFD5AC3A"/>
      </right>
      <top style="double">
        <color rgb="FFD5AC3A"/>
      </top>
      <bottom style="double">
        <color rgb="FFD5AC3A"/>
      </bottom>
      <diagonal/>
    </border>
    <border>
      <left style="double">
        <color rgb="FFD5AC3A"/>
      </left>
      <right/>
      <top style="hair">
        <color auto="1"/>
      </top>
      <bottom style="hair">
        <color auto="1"/>
      </bottom>
      <diagonal/>
    </border>
    <border>
      <left/>
      <right style="double">
        <color rgb="FFD5AC3A"/>
      </right>
      <top style="hair">
        <color auto="1"/>
      </top>
      <bottom style="hair">
        <color auto="1"/>
      </bottom>
      <diagonal/>
    </border>
    <border>
      <left style="double">
        <color rgb="FFD5AC3A"/>
      </left>
      <right/>
      <top style="hair">
        <color theme="1"/>
      </top>
      <bottom style="double">
        <color rgb="FFD5AC3A"/>
      </bottom>
      <diagonal/>
    </border>
    <border>
      <left/>
      <right style="double">
        <color rgb="FFD5AC3A"/>
      </right>
      <top style="hair">
        <color theme="1"/>
      </top>
      <bottom style="double">
        <color rgb="FFD5AC3A"/>
      </bottom>
      <diagonal/>
    </border>
    <border>
      <left style="double">
        <color rgb="FFD5AC3A"/>
      </left>
      <right/>
      <top style="double">
        <color rgb="FFD5AC3A"/>
      </top>
      <bottom style="hair">
        <color theme="1"/>
      </bottom>
      <diagonal/>
    </border>
    <border>
      <left/>
      <right style="double">
        <color rgb="FFD5AC3A"/>
      </right>
      <top style="double">
        <color rgb="FFD5AC3A"/>
      </top>
      <bottom style="hair">
        <color theme="1"/>
      </bottom>
      <diagonal/>
    </border>
    <border>
      <left/>
      <right/>
      <top/>
      <bottom style="double">
        <color rgb="FFC00000"/>
      </bottom>
      <diagonal/>
    </border>
    <border>
      <left style="double">
        <color rgb="FFC00000"/>
      </left>
      <right/>
      <top style="double">
        <color rgb="FFC00000"/>
      </top>
      <bottom/>
      <diagonal/>
    </border>
    <border>
      <left/>
      <right/>
      <top style="double">
        <color rgb="FFC00000"/>
      </top>
      <bottom/>
      <diagonal/>
    </border>
    <border>
      <left/>
      <right style="double">
        <color rgb="FFC00000"/>
      </right>
      <top style="double">
        <color rgb="FFC00000"/>
      </top>
      <bottom/>
      <diagonal/>
    </border>
    <border>
      <left style="double">
        <color rgb="FFC00000"/>
      </left>
      <right/>
      <top/>
      <bottom/>
      <diagonal/>
    </border>
    <border>
      <left/>
      <right style="double">
        <color rgb="FFC00000"/>
      </right>
      <top/>
      <bottom/>
      <diagonal/>
    </border>
    <border>
      <left style="double">
        <color rgb="FFC00000"/>
      </left>
      <right/>
      <top/>
      <bottom style="double">
        <color rgb="FFC00000"/>
      </bottom>
      <diagonal/>
    </border>
    <border>
      <left/>
      <right style="double">
        <color rgb="FFC00000"/>
      </right>
      <top/>
      <bottom style="double">
        <color rgb="FFC00000"/>
      </bottom>
      <diagonal/>
    </border>
    <border>
      <left style="double">
        <color theme="6" tint="-0.24994659260841701"/>
      </left>
      <right style="double">
        <color theme="6" tint="-0.24994659260841701"/>
      </right>
      <top style="double">
        <color theme="6" tint="-0.24994659260841701"/>
      </top>
      <bottom style="double">
        <color theme="6" tint="-0.24994659260841701"/>
      </bottom>
      <diagonal/>
    </border>
    <border>
      <left style="double">
        <color theme="6" tint="-0.24994659260841701"/>
      </left>
      <right/>
      <top style="double">
        <color theme="6" tint="-0.24994659260841701"/>
      </top>
      <bottom/>
      <diagonal/>
    </border>
    <border>
      <left/>
      <right/>
      <top style="double">
        <color theme="6" tint="-0.24994659260841701"/>
      </top>
      <bottom/>
      <diagonal/>
    </border>
    <border>
      <left/>
      <right style="double">
        <color theme="6" tint="-0.24994659260841701"/>
      </right>
      <top style="double">
        <color theme="6" tint="-0.24994659260841701"/>
      </top>
      <bottom/>
      <diagonal/>
    </border>
    <border>
      <left style="double">
        <color theme="6" tint="-0.24994659260841701"/>
      </left>
      <right/>
      <top/>
      <bottom/>
      <diagonal/>
    </border>
    <border>
      <left/>
      <right style="double">
        <color theme="6" tint="-0.24994659260841701"/>
      </right>
      <top/>
      <bottom/>
      <diagonal/>
    </border>
    <border>
      <left style="double">
        <color theme="6" tint="-0.24994659260841701"/>
      </left>
      <right/>
      <top/>
      <bottom style="double">
        <color theme="6" tint="-0.24994659260841701"/>
      </bottom>
      <diagonal/>
    </border>
    <border>
      <left/>
      <right/>
      <top/>
      <bottom style="double">
        <color theme="6" tint="-0.24994659260841701"/>
      </bottom>
      <diagonal/>
    </border>
    <border>
      <left/>
      <right style="double">
        <color theme="6" tint="-0.24994659260841701"/>
      </right>
      <top/>
      <bottom style="double">
        <color theme="6" tint="-0.24994659260841701"/>
      </bottom>
      <diagonal/>
    </border>
    <border>
      <left style="double">
        <color theme="6" tint="-0.24994659260841701"/>
      </left>
      <right style="double">
        <color theme="6" tint="-0.24994659260841701"/>
      </right>
      <top/>
      <bottom/>
      <diagonal/>
    </border>
    <border>
      <left style="double">
        <color theme="6" tint="-0.24994659260841701"/>
      </left>
      <right style="double">
        <color theme="6" tint="-0.24994659260841701"/>
      </right>
      <top style="double">
        <color theme="6" tint="-0.24994659260841701"/>
      </top>
      <bottom style="thin">
        <color theme="6" tint="-0.24994659260841701"/>
      </bottom>
      <diagonal/>
    </border>
    <border>
      <left style="double">
        <color theme="6" tint="-0.24994659260841701"/>
      </left>
      <right style="double">
        <color theme="6" tint="-0.24994659260841701"/>
      </right>
      <top style="thin">
        <color theme="6" tint="-0.24994659260841701"/>
      </top>
      <bottom style="thin">
        <color theme="6" tint="-0.24994659260841701"/>
      </bottom>
      <diagonal/>
    </border>
    <border>
      <left/>
      <right/>
      <top style="double">
        <color theme="6" tint="-0.24994659260841701"/>
      </top>
      <bottom style="double">
        <color theme="6" tint="-0.24994659260841701"/>
      </bottom>
      <diagonal/>
    </border>
    <border>
      <left style="double">
        <color rgb="FFD5AC3A"/>
      </left>
      <right/>
      <top style="thin">
        <color rgb="FFD5AC3A"/>
      </top>
      <bottom/>
      <diagonal/>
    </border>
    <border>
      <left/>
      <right style="double">
        <color rgb="FFD5AC3A"/>
      </right>
      <top style="thin">
        <color rgb="FFD5AC3A"/>
      </top>
      <bottom/>
      <diagonal/>
    </border>
    <border>
      <left style="double">
        <color rgb="FF0070C0"/>
      </left>
      <right/>
      <top style="double">
        <color rgb="FF0070C0"/>
      </top>
      <bottom style="double">
        <color rgb="FF0070C0"/>
      </bottom>
      <diagonal/>
    </border>
    <border>
      <left/>
      <right style="double">
        <color rgb="FF0070C0"/>
      </right>
      <top style="double">
        <color rgb="FF0070C0"/>
      </top>
      <bottom style="double">
        <color rgb="FF0070C0"/>
      </bottom>
      <diagonal/>
    </border>
    <border>
      <left style="double">
        <color theme="6" tint="-0.24994659260841701"/>
      </left>
      <right style="double">
        <color theme="6" tint="-0.24994659260841701"/>
      </right>
      <top style="thin">
        <color theme="6" tint="-0.24994659260841701"/>
      </top>
      <bottom/>
      <diagonal/>
    </border>
    <border>
      <left style="double">
        <color theme="6" tint="-0.24994659260841701"/>
      </left>
      <right style="double">
        <color theme="6" tint="-0.24994659260841701"/>
      </right>
      <top style="double">
        <color theme="6" tint="-0.24994659260841701"/>
      </top>
      <bottom/>
      <diagonal/>
    </border>
    <border>
      <left style="double">
        <color rgb="FF0070C0"/>
      </left>
      <right style="double">
        <color theme="3" tint="0.39991454817346722"/>
      </right>
      <top style="double">
        <color rgb="FF0070C0"/>
      </top>
      <bottom style="double">
        <color rgb="FF0070C0"/>
      </bottom>
      <diagonal/>
    </border>
    <border>
      <left style="double">
        <color theme="3" tint="0.39991454817346722"/>
      </left>
      <right style="double">
        <color theme="3" tint="0.39988402966399123"/>
      </right>
      <top style="double">
        <color rgb="FF0070C0"/>
      </top>
      <bottom style="double">
        <color rgb="FF0070C0"/>
      </bottom>
      <diagonal/>
    </border>
    <border>
      <left/>
      <right/>
      <top style="double">
        <color rgb="FF0070C0"/>
      </top>
      <bottom style="double">
        <color rgb="FF0070C0"/>
      </bottom>
      <diagonal/>
    </border>
    <border>
      <left/>
      <right style="double">
        <color rgb="FFD5AC3A"/>
      </right>
      <top style="hair">
        <color auto="1"/>
      </top>
      <bottom style="double">
        <color rgb="FFD5AC3A"/>
      </bottom>
      <diagonal/>
    </border>
    <border>
      <left/>
      <right style="double">
        <color rgb="FFD5AC3A"/>
      </right>
      <top style="double">
        <color rgb="FFD5AC3A"/>
      </top>
      <bottom style="hair">
        <color auto="1"/>
      </bottom>
      <diagonal/>
    </border>
    <border>
      <left/>
      <right style="double">
        <color rgb="FFD5AC3A"/>
      </right>
      <top style="thin">
        <color rgb="FFD5AC3A"/>
      </top>
      <bottom style="double">
        <color rgb="FFD5AC3A"/>
      </bottom>
      <diagonal/>
    </border>
    <border>
      <left style="double">
        <color rgb="FF0070C0"/>
      </left>
      <right style="double">
        <color rgb="FF0070C0"/>
      </right>
      <top/>
      <bottom/>
      <diagonal/>
    </border>
    <border>
      <left style="double">
        <color rgb="FF0070C0"/>
      </left>
      <right style="double">
        <color theme="6" tint="-0.24994659260841701"/>
      </right>
      <top/>
      <bottom/>
      <diagonal/>
    </border>
    <border>
      <left/>
      <right style="thick">
        <color rgb="FFD5AC3A"/>
      </right>
      <top style="hair">
        <color auto="1"/>
      </top>
      <bottom style="hair">
        <color auto="1"/>
      </bottom>
      <diagonal/>
    </border>
    <border>
      <left style="hair">
        <color theme="1"/>
      </left>
      <right style="hair">
        <color theme="1"/>
      </right>
      <top style="thick">
        <color rgb="FFD5AC3A"/>
      </top>
      <bottom style="thick">
        <color rgb="FFD5AC3A"/>
      </bottom>
      <diagonal/>
    </border>
    <border>
      <left style="double">
        <color rgb="FFD5AC3A"/>
      </left>
      <right/>
      <top/>
      <bottom style="thin">
        <color rgb="FFD5AC3A"/>
      </bottom>
      <diagonal/>
    </border>
    <border>
      <left/>
      <right style="double">
        <color rgb="FFD5AC3A"/>
      </right>
      <top/>
      <bottom style="thin">
        <color rgb="FFD5AC3A"/>
      </bottom>
      <diagonal/>
    </border>
    <border>
      <left style="hair">
        <color theme="1"/>
      </left>
      <right style="hair">
        <color theme="1"/>
      </right>
      <top style="hair">
        <color auto="1"/>
      </top>
      <bottom style="hair">
        <color auto="1"/>
      </bottom>
      <diagonal/>
    </border>
    <border>
      <left style="hair">
        <color theme="1"/>
      </left>
      <right style="hair">
        <color theme="1"/>
      </right>
      <top style="hair">
        <color auto="1"/>
      </top>
      <bottom style="thick">
        <color rgb="FFD5AC3A"/>
      </bottom>
      <diagonal/>
    </border>
    <border>
      <left style="hair">
        <color theme="1"/>
      </left>
      <right style="hair">
        <color theme="1"/>
      </right>
      <top/>
      <bottom style="hair">
        <color theme="1"/>
      </bottom>
      <diagonal/>
    </border>
    <border>
      <left style="hair">
        <color theme="1"/>
      </left>
      <right style="hair">
        <color theme="1"/>
      </right>
      <top/>
      <bottom style="hair">
        <color auto="1"/>
      </bottom>
      <diagonal/>
    </border>
    <border>
      <left/>
      <right style="thick">
        <color rgb="FFD5AC3A"/>
      </right>
      <top/>
      <bottom style="hair">
        <color auto="1"/>
      </bottom>
      <diagonal/>
    </border>
    <border>
      <left style="hair">
        <color theme="1"/>
      </left>
      <right style="thick">
        <color rgb="FFD5AC3A"/>
      </right>
      <top style="thick">
        <color rgb="FFD5AC3A"/>
      </top>
      <bottom style="thick">
        <color rgb="FFD5AC3A"/>
      </bottom>
      <diagonal/>
    </border>
    <border>
      <left style="double">
        <color theme="6" tint="-0.24994659260841701"/>
      </left>
      <right style="double">
        <color theme="6" tint="-0.24994659260841701"/>
      </right>
      <top style="thin">
        <color theme="6" tint="-0.24994659260841701"/>
      </top>
      <bottom style="double">
        <color theme="6" tint="-0.24994659260841701"/>
      </bottom>
      <diagonal/>
    </border>
    <border>
      <left style="double">
        <color theme="6" tint="-0.24994659260841701"/>
      </left>
      <right style="double">
        <color theme="6" tint="-0.24994659260841701"/>
      </right>
      <top/>
      <bottom style="thin">
        <color theme="6" tint="-0.24994659260841701"/>
      </bottom>
      <diagonal/>
    </border>
    <border>
      <left style="double">
        <color theme="6" tint="-0.24994659260841701"/>
      </left>
      <right/>
      <top style="double">
        <color theme="6" tint="-0.24994659260841701"/>
      </top>
      <bottom style="double">
        <color theme="6" tint="-0.24994659260841701"/>
      </bottom>
      <diagonal/>
    </border>
    <border>
      <left/>
      <right style="double">
        <color theme="6" tint="-0.24994659260841701"/>
      </right>
      <top style="thin">
        <color theme="6" tint="-0.24994659260841701"/>
      </top>
      <bottom style="thin">
        <color theme="6" tint="-0.24994659260841701"/>
      </bottom>
      <diagonal/>
    </border>
    <border>
      <left/>
      <right style="double">
        <color theme="6" tint="-0.24994659260841701"/>
      </right>
      <top style="double">
        <color theme="6" tint="-0.24994659260841701"/>
      </top>
      <bottom style="thin">
        <color theme="6" tint="-0.24994659260841701"/>
      </bottom>
      <diagonal/>
    </border>
    <border>
      <left/>
      <right style="double">
        <color theme="6" tint="-0.24994659260841701"/>
      </right>
      <top style="thin">
        <color theme="6" tint="-0.24994659260841701"/>
      </top>
      <bottom style="double">
        <color theme="6" tint="-0.24994659260841701"/>
      </bottom>
      <diagonal/>
    </border>
    <border>
      <left/>
      <right style="double">
        <color theme="6" tint="-0.24994659260841701"/>
      </right>
      <top style="double">
        <color theme="6" tint="-0.24994659260841701"/>
      </top>
      <bottom style="double">
        <color theme="6" tint="-0.24994659260841701"/>
      </bottom>
      <diagonal/>
    </border>
    <border>
      <left style="double">
        <color theme="6" tint="-0.24994659260841701"/>
      </left>
      <right/>
      <top style="thin">
        <color theme="6" tint="-0.24994659260841701"/>
      </top>
      <bottom style="thin">
        <color theme="6" tint="-0.24994659260841701"/>
      </bottom>
      <diagonal/>
    </border>
    <border>
      <left style="double">
        <color theme="6" tint="-0.24994659260841701"/>
      </left>
      <right/>
      <top style="double">
        <color theme="6" tint="-0.24994659260841701"/>
      </top>
      <bottom style="thin">
        <color theme="6" tint="-0.24994659260841701"/>
      </bottom>
      <diagonal/>
    </border>
    <border>
      <left style="double">
        <color theme="6" tint="-0.24994659260841701"/>
      </left>
      <right/>
      <top style="thin">
        <color theme="6" tint="-0.24994659260841701"/>
      </top>
      <bottom style="double">
        <color theme="6" tint="-0.24994659260841701"/>
      </bottom>
      <diagonal/>
    </border>
    <border>
      <left style="double">
        <color theme="3" tint="0.39988402966399123"/>
      </left>
      <right/>
      <top style="double">
        <color theme="3" tint="0.39985351115451523"/>
      </top>
      <bottom style="double">
        <color theme="3" tint="0.39985351115451523"/>
      </bottom>
      <diagonal/>
    </border>
    <border>
      <left/>
      <right style="double">
        <color theme="3" tint="0.39985351115451523"/>
      </right>
      <top style="double">
        <color theme="3" tint="0.39985351115451523"/>
      </top>
      <bottom style="double">
        <color theme="3" tint="0.39985351115451523"/>
      </bottom>
      <diagonal/>
    </border>
    <border>
      <left style="double">
        <color rgb="FFD5AC3A"/>
      </left>
      <right style="double">
        <color rgb="FFD5AC3A"/>
      </right>
      <top style="double">
        <color rgb="FFD5AC3A"/>
      </top>
      <bottom style="thin">
        <color rgb="FFD5AC3A"/>
      </bottom>
      <diagonal/>
    </border>
    <border>
      <left style="double">
        <color rgb="FFD5AC3A"/>
      </left>
      <right/>
      <top style="hair">
        <color auto="1"/>
      </top>
      <bottom style="double">
        <color rgb="FFD5AC3A"/>
      </bottom>
      <diagonal/>
    </border>
    <border>
      <left style="double">
        <color rgb="FFD5AC3A"/>
      </left>
      <right/>
      <top style="double">
        <color rgb="FFD5AC3A"/>
      </top>
      <bottom style="hair">
        <color auto="1"/>
      </bottom>
      <diagonal/>
    </border>
    <border>
      <left/>
      <right/>
      <top style="hair">
        <color auto="1"/>
      </top>
      <bottom style="hair">
        <color auto="1"/>
      </bottom>
      <diagonal/>
    </border>
    <border>
      <left/>
      <right/>
      <top style="hair">
        <color auto="1"/>
      </top>
      <bottom style="double">
        <color rgb="FFD5AC3A"/>
      </bottom>
      <diagonal/>
    </border>
    <border>
      <left/>
      <right/>
      <top style="double">
        <color rgb="FFD5AC3A"/>
      </top>
      <bottom style="hair">
        <color auto="1"/>
      </bottom>
      <diagonal/>
    </border>
    <border>
      <left/>
      <right/>
      <top style="double">
        <color rgb="FFD5AC3A"/>
      </top>
      <bottom/>
      <diagonal/>
    </border>
    <border>
      <left/>
      <right/>
      <top/>
      <bottom style="double">
        <color rgb="FFD5AC3A"/>
      </bottom>
      <diagonal/>
    </border>
    <border>
      <left style="hair">
        <color theme="1"/>
      </left>
      <right style="thick">
        <color rgb="FFD5AC3A"/>
      </right>
      <top style="hair">
        <color auto="1"/>
      </top>
      <bottom style="thick">
        <color rgb="FFD5AC3A"/>
      </bottom>
      <diagonal/>
    </border>
    <border>
      <left/>
      <right/>
      <top style="double">
        <color rgb="FF0070C0"/>
      </top>
      <bottom style="double">
        <color rgb="FFD5AC3A"/>
      </bottom>
      <diagonal/>
    </border>
    <border>
      <left style="double">
        <color rgb="FFFFFF00"/>
      </left>
      <right/>
      <top style="double">
        <color rgb="FFFFFF00"/>
      </top>
      <bottom/>
      <diagonal/>
    </border>
    <border>
      <left/>
      <right/>
      <top style="double">
        <color rgb="FFFFFF00"/>
      </top>
      <bottom/>
      <diagonal/>
    </border>
    <border>
      <left/>
      <right style="double">
        <color rgb="FFFFFF00"/>
      </right>
      <top style="double">
        <color rgb="FFFFFF00"/>
      </top>
      <bottom/>
      <diagonal/>
    </border>
    <border>
      <left style="double">
        <color rgb="FFFFFF00"/>
      </left>
      <right/>
      <top/>
      <bottom/>
      <diagonal/>
    </border>
    <border>
      <left/>
      <right style="double">
        <color rgb="FFFFFF00"/>
      </right>
      <top/>
      <bottom/>
      <diagonal/>
    </border>
    <border>
      <left style="double">
        <color rgb="FFFFFF00"/>
      </left>
      <right/>
      <top/>
      <bottom style="double">
        <color rgb="FFFFFF00"/>
      </bottom>
      <diagonal/>
    </border>
    <border>
      <left/>
      <right/>
      <top/>
      <bottom style="double">
        <color rgb="FFFFFF00"/>
      </bottom>
      <diagonal/>
    </border>
    <border>
      <left/>
      <right style="double">
        <color rgb="FFFFFF00"/>
      </right>
      <top/>
      <bottom style="double">
        <color rgb="FFFFFF00"/>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rgb="FFD5AC3A"/>
      </left>
      <right style="double">
        <color rgb="FFD5AC3A"/>
      </right>
      <top style="thin">
        <color rgb="FFD5AC3A"/>
      </top>
      <bottom style="double">
        <color rgb="FFD5AC3A"/>
      </bottom>
      <diagonal/>
    </border>
    <border>
      <left/>
      <right style="double">
        <color theme="6" tint="-0.24994659260841701"/>
      </right>
      <top/>
      <bottom style="thin">
        <color theme="6" tint="-0.24994659260841701"/>
      </bottom>
      <diagonal/>
    </border>
    <border>
      <left style="double">
        <color theme="6" tint="-0.24994659260841701"/>
      </left>
      <right/>
      <top/>
      <bottom style="thin">
        <color theme="6" tint="-0.24994659260841701"/>
      </bottom>
      <diagonal/>
    </border>
    <border>
      <left style="thin">
        <color rgb="FFD5AC3A"/>
      </left>
      <right/>
      <top style="thin">
        <color rgb="FFD5AC3A"/>
      </top>
      <bottom style="thin">
        <color rgb="FFD5AC3A"/>
      </bottom>
      <diagonal/>
    </border>
    <border>
      <left/>
      <right style="thin">
        <color rgb="FFD5AC3A"/>
      </right>
      <top style="thin">
        <color rgb="FFD5AC3A"/>
      </top>
      <bottom style="thin">
        <color rgb="FFD5AC3A"/>
      </bottom>
      <diagonal/>
    </border>
    <border>
      <left style="medium">
        <color rgb="FFD5AC3A"/>
      </left>
      <right/>
      <top style="medium">
        <color rgb="FFD5AC3A"/>
      </top>
      <bottom/>
      <diagonal/>
    </border>
    <border>
      <left/>
      <right/>
      <top style="medium">
        <color rgb="FFD5AC3A"/>
      </top>
      <bottom/>
      <diagonal/>
    </border>
    <border>
      <left/>
      <right style="medium">
        <color rgb="FFD5AC3A"/>
      </right>
      <top style="medium">
        <color rgb="FFD5AC3A"/>
      </top>
      <bottom/>
      <diagonal/>
    </border>
    <border>
      <left style="medium">
        <color rgb="FFD5AC3A"/>
      </left>
      <right/>
      <top/>
      <bottom/>
      <diagonal/>
    </border>
    <border>
      <left/>
      <right style="medium">
        <color rgb="FFD5AC3A"/>
      </right>
      <top/>
      <bottom/>
      <diagonal/>
    </border>
    <border>
      <left style="medium">
        <color rgb="FFD5AC3A"/>
      </left>
      <right/>
      <top/>
      <bottom style="medium">
        <color rgb="FFD5AC3A"/>
      </bottom>
      <diagonal/>
    </border>
    <border>
      <left/>
      <right/>
      <top/>
      <bottom style="medium">
        <color rgb="FFD5AC3A"/>
      </bottom>
      <diagonal/>
    </border>
    <border>
      <left/>
      <right style="medium">
        <color rgb="FFD5AC3A"/>
      </right>
      <top/>
      <bottom style="medium">
        <color rgb="FFD5AC3A"/>
      </bottom>
      <diagonal/>
    </border>
    <border>
      <left/>
      <right style="hair">
        <color theme="1"/>
      </right>
      <top style="thick">
        <color rgb="FFD5AC3A"/>
      </top>
      <bottom style="thick">
        <color rgb="FFD5AC3A"/>
      </bottom>
      <diagonal/>
    </border>
    <border>
      <left/>
      <right style="hair">
        <color theme="1"/>
      </right>
      <top/>
      <bottom style="hair">
        <color theme="1"/>
      </bottom>
      <diagonal/>
    </border>
    <border>
      <left/>
      <right style="hair">
        <color theme="1"/>
      </right>
      <top style="hair">
        <color theme="1"/>
      </top>
      <bottom style="hair">
        <color theme="1"/>
      </bottom>
      <diagonal/>
    </border>
    <border>
      <left/>
      <right style="hair">
        <color theme="1"/>
      </right>
      <top style="hair">
        <color theme="1"/>
      </top>
      <bottom style="thick">
        <color rgb="FFD5AC3A"/>
      </bottom>
      <diagonal/>
    </border>
    <border>
      <left style="double">
        <color rgb="FFD5AC3A"/>
      </left>
      <right style="medium">
        <color rgb="FFD5AC3A"/>
      </right>
      <top/>
      <bottom style="hair">
        <color auto="1"/>
      </bottom>
      <diagonal/>
    </border>
    <border>
      <left style="medium">
        <color rgb="FFD5AC3A"/>
      </left>
      <right/>
      <top style="hair">
        <color theme="1"/>
      </top>
      <bottom style="hair">
        <color theme="1"/>
      </bottom>
      <diagonal/>
    </border>
    <border>
      <left style="medium">
        <color rgb="FFD5AC3A"/>
      </left>
      <right/>
      <top style="hair">
        <color theme="1"/>
      </top>
      <bottom style="double">
        <color rgb="FFD5AC3A"/>
      </bottom>
      <diagonal/>
    </border>
    <border>
      <left style="double">
        <color rgb="FFD5AC3A"/>
      </left>
      <right style="medium">
        <color rgb="FFD5AC3A"/>
      </right>
      <top/>
      <bottom/>
      <diagonal/>
    </border>
    <border>
      <left style="medium">
        <color rgb="FFD5AC3A"/>
      </left>
      <right/>
      <top style="double">
        <color rgb="FFD5AC3A"/>
      </top>
      <bottom style="double">
        <color rgb="FFD5AC3A"/>
      </bottom>
      <diagonal/>
    </border>
    <border>
      <left style="double">
        <color rgb="FFD5AC3A"/>
      </left>
      <right style="medium">
        <color rgb="FFD5AC3A"/>
      </right>
      <top style="double">
        <color rgb="FFD5AC3A"/>
      </top>
      <bottom style="double">
        <color rgb="FFD5AC3A"/>
      </bottom>
      <diagonal/>
    </border>
    <border>
      <left style="medium">
        <color rgb="FFD5AC3A"/>
      </left>
      <right/>
      <top style="double">
        <color rgb="FFD5AC3A"/>
      </top>
      <bottom style="hair">
        <color theme="1"/>
      </bottom>
      <diagonal/>
    </border>
    <border>
      <left style="medium">
        <color rgb="FFD5AC3A"/>
      </left>
      <right/>
      <top style="double">
        <color rgb="FFD5AC3A"/>
      </top>
      <bottom style="medium">
        <color rgb="FFD5AC3A"/>
      </bottom>
      <diagonal/>
    </border>
    <border>
      <left/>
      <right style="double">
        <color rgb="FFD5AC3A"/>
      </right>
      <top style="double">
        <color rgb="FFD5AC3A"/>
      </top>
      <bottom style="medium">
        <color rgb="FFD5AC3A"/>
      </bottom>
      <diagonal/>
    </border>
    <border>
      <left style="double">
        <color rgb="FFD5AC3A"/>
      </left>
      <right/>
      <top style="double">
        <color rgb="FFD5AC3A"/>
      </top>
      <bottom style="medium">
        <color rgb="FFD5AC3A"/>
      </bottom>
      <diagonal/>
    </border>
    <border>
      <left/>
      <right/>
      <top style="double">
        <color rgb="FFD5AC3A"/>
      </top>
      <bottom style="medium">
        <color rgb="FFD5AC3A"/>
      </bottom>
      <diagonal/>
    </border>
    <border>
      <left/>
      <right style="thick">
        <color rgb="FFD5AC3A"/>
      </right>
      <top style="double">
        <color rgb="FFD5AC3A"/>
      </top>
      <bottom style="medium">
        <color rgb="FFD5AC3A"/>
      </bottom>
      <diagonal/>
    </border>
    <border>
      <left/>
      <right style="medium">
        <color rgb="FFD5AC3A"/>
      </right>
      <top style="double">
        <color rgb="FFD5AC3A"/>
      </top>
      <bottom style="medium">
        <color rgb="FFD5AC3A"/>
      </bottom>
      <diagonal/>
    </border>
    <border>
      <left style="medium">
        <color rgb="FFD5AC3A"/>
      </left>
      <right/>
      <top/>
      <bottom style="hair">
        <color theme="1"/>
      </bottom>
      <diagonal/>
    </border>
    <border>
      <left/>
      <right style="double">
        <color rgb="FFD5AC3A"/>
      </right>
      <top/>
      <bottom style="hair">
        <color theme="1"/>
      </bottom>
      <diagonal/>
    </border>
    <border>
      <left style="double">
        <color rgb="FFD5AC3A"/>
      </left>
      <right/>
      <top/>
      <bottom style="hair">
        <color auto="1"/>
      </bottom>
      <diagonal/>
    </border>
    <border>
      <left/>
      <right style="double">
        <color rgb="FFD5AC3A"/>
      </right>
      <top/>
      <bottom style="hair">
        <color auto="1"/>
      </bottom>
      <diagonal/>
    </border>
    <border>
      <left style="double">
        <color rgb="FFD5AC3A"/>
      </left>
      <right/>
      <top/>
      <bottom style="hair">
        <color theme="1"/>
      </bottom>
      <diagonal/>
    </border>
    <border>
      <left/>
      <right/>
      <top/>
      <bottom style="hair">
        <color auto="1"/>
      </bottom>
      <diagonal/>
    </border>
    <border>
      <left style="medium">
        <color rgb="FFD5AC3A"/>
      </left>
      <right/>
      <top style="medium">
        <color rgb="FFD5AC3A"/>
      </top>
      <bottom style="medium">
        <color rgb="FFD5AC3A"/>
      </bottom>
      <diagonal/>
    </border>
    <border>
      <left/>
      <right style="double">
        <color rgb="FFD5AC3A"/>
      </right>
      <top style="medium">
        <color rgb="FFD5AC3A"/>
      </top>
      <bottom style="medium">
        <color rgb="FFD5AC3A"/>
      </bottom>
      <diagonal/>
    </border>
    <border>
      <left style="double">
        <color rgb="FFD5AC3A"/>
      </left>
      <right/>
      <top style="medium">
        <color rgb="FFD5AC3A"/>
      </top>
      <bottom style="medium">
        <color rgb="FFD5AC3A"/>
      </bottom>
      <diagonal/>
    </border>
    <border>
      <left/>
      <right/>
      <top style="medium">
        <color rgb="FFD5AC3A"/>
      </top>
      <bottom style="medium">
        <color rgb="FFD5AC3A"/>
      </bottom>
      <diagonal/>
    </border>
    <border>
      <left style="double">
        <color rgb="FFD5AC3A"/>
      </left>
      <right style="thick">
        <color rgb="FFD5AC3A"/>
      </right>
      <top style="medium">
        <color rgb="FFD5AC3A"/>
      </top>
      <bottom style="medium">
        <color rgb="FFD5AC3A"/>
      </bottom>
      <diagonal/>
    </border>
    <border>
      <left style="double">
        <color rgb="FFD5AC3A"/>
      </left>
      <right style="medium">
        <color rgb="FFD5AC3A"/>
      </right>
      <top style="medium">
        <color rgb="FFD5AC3A"/>
      </top>
      <bottom style="medium">
        <color rgb="FFD5AC3A"/>
      </bottom>
      <diagonal/>
    </border>
  </borders>
  <cellStyleXfs count="4">
    <xf numFmtId="0" fontId="0" fillId="0" borderId="0"/>
    <xf numFmtId="0" fontId="4" fillId="0" borderId="0"/>
    <xf numFmtId="165" fontId="4" fillId="0" borderId="0" applyFont="0" applyFill="0" applyBorder="0" applyAlignment="0" applyProtection="0"/>
    <xf numFmtId="0" fontId="39" fillId="0" borderId="0" applyNumberFormat="0" applyFill="0" applyBorder="0" applyAlignment="0" applyProtection="0">
      <alignment vertical="top"/>
      <protection locked="0"/>
    </xf>
  </cellStyleXfs>
  <cellXfs count="537">
    <xf numFmtId="0" fontId="0" fillId="0" borderId="0" xfId="0"/>
    <xf numFmtId="0" fontId="4" fillId="3" borderId="0" xfId="1" applyFill="1" applyProtection="1"/>
    <xf numFmtId="0" fontId="8" fillId="3" borderId="0" xfId="1" applyFont="1" applyFill="1" applyAlignment="1" applyProtection="1">
      <alignment horizontal="left" vertical="center"/>
    </xf>
    <xf numFmtId="165" fontId="10" fillId="2" borderId="0" xfId="1" applyNumberFormat="1" applyFont="1" applyFill="1" applyBorder="1" applyAlignment="1" applyProtection="1">
      <alignment horizontal="right" vertical="center"/>
    </xf>
    <xf numFmtId="164" fontId="14" fillId="2" borderId="0" xfId="1" applyNumberFormat="1" applyFont="1" applyFill="1" applyBorder="1" applyAlignment="1" applyProtection="1">
      <alignment horizontal="right" vertical="center"/>
    </xf>
    <xf numFmtId="165" fontId="16" fillId="2" borderId="0" xfId="1" applyNumberFormat="1" applyFont="1" applyFill="1" applyBorder="1" applyAlignment="1" applyProtection="1">
      <alignment horizontal="right" vertical="center"/>
    </xf>
    <xf numFmtId="0" fontId="4" fillId="2" borderId="0" xfId="1" applyFill="1" applyProtection="1"/>
    <xf numFmtId="0" fontId="18" fillId="2" borderId="0" xfId="1" applyFont="1" applyFill="1" applyBorder="1" applyAlignment="1" applyProtection="1">
      <alignment horizontal="center" vertical="center"/>
    </xf>
    <xf numFmtId="165" fontId="19" fillId="2" borderId="0" xfId="2" applyFont="1" applyFill="1" applyBorder="1" applyAlignment="1" applyProtection="1">
      <alignment horizontal="center"/>
    </xf>
    <xf numFmtId="0" fontId="4" fillId="2" borderId="0" xfId="1" applyFill="1" applyAlignment="1" applyProtection="1">
      <alignment horizontal="center"/>
    </xf>
    <xf numFmtId="0" fontId="5" fillId="2" borderId="0" xfId="1" applyFont="1" applyFill="1" applyBorder="1" applyProtection="1"/>
    <xf numFmtId="0" fontId="5" fillId="2" borderId="0" xfId="1" applyFont="1" applyFill="1" applyBorder="1" applyAlignment="1" applyProtection="1">
      <alignment horizontal="left" vertical="center"/>
    </xf>
    <xf numFmtId="165" fontId="9" fillId="2" borderId="0" xfId="1" applyNumberFormat="1" applyFont="1" applyFill="1" applyBorder="1" applyAlignment="1" applyProtection="1">
      <alignment vertical="center"/>
    </xf>
    <xf numFmtId="10" fontId="15" fillId="2" borderId="0" xfId="1" applyNumberFormat="1" applyFont="1" applyFill="1" applyBorder="1" applyAlignment="1" applyProtection="1">
      <alignment vertical="center"/>
    </xf>
    <xf numFmtId="0" fontId="35" fillId="4" borderId="31" xfId="2" applyNumberFormat="1" applyFont="1" applyFill="1" applyBorder="1" applyAlignment="1" applyProtection="1">
      <alignment horizontal="center"/>
    </xf>
    <xf numFmtId="10" fontId="23" fillId="2" borderId="0" xfId="1" applyNumberFormat="1" applyFont="1" applyFill="1" applyBorder="1" applyAlignment="1" applyProtection="1">
      <alignment horizontal="right" vertical="center"/>
    </xf>
    <xf numFmtId="0" fontId="35" fillId="4" borderId="32" xfId="2" applyNumberFormat="1" applyFont="1" applyFill="1" applyBorder="1" applyAlignment="1" applyProtection="1">
      <alignment horizontal="center"/>
    </xf>
    <xf numFmtId="0" fontId="35" fillId="2" borderId="0" xfId="2" applyNumberFormat="1" applyFont="1" applyFill="1" applyBorder="1" applyAlignment="1" applyProtection="1">
      <alignment horizontal="center"/>
    </xf>
    <xf numFmtId="166" fontId="35" fillId="4" borderId="31" xfId="2" applyNumberFormat="1" applyFont="1" applyFill="1" applyBorder="1" applyAlignment="1" applyProtection="1">
      <alignment horizontal="center"/>
    </xf>
    <xf numFmtId="0" fontId="39" fillId="2" borderId="0" xfId="3" applyFill="1" applyBorder="1" applyAlignment="1" applyProtection="1">
      <alignment vertical="center"/>
    </xf>
    <xf numFmtId="165" fontId="17" fillId="2" borderId="0" xfId="1" applyNumberFormat="1" applyFont="1" applyFill="1" applyBorder="1" applyAlignment="1" applyProtection="1">
      <alignment horizontal="right" vertical="center"/>
    </xf>
    <xf numFmtId="0" fontId="1" fillId="2" borderId="18" xfId="1" applyFont="1" applyFill="1" applyBorder="1" applyAlignment="1" applyProtection="1">
      <alignment horizontal="left" vertical="center"/>
    </xf>
    <xf numFmtId="0" fontId="34" fillId="3" borderId="26" xfId="1" applyFont="1" applyFill="1" applyBorder="1" applyAlignment="1" applyProtection="1">
      <alignment vertical="center"/>
    </xf>
    <xf numFmtId="0" fontId="1" fillId="2" borderId="28" xfId="1" applyFont="1" applyFill="1" applyBorder="1" applyAlignment="1" applyProtection="1">
      <alignment horizontal="left" vertical="center"/>
    </xf>
    <xf numFmtId="0" fontId="39" fillId="2" borderId="0" xfId="3" applyFill="1" applyBorder="1" applyAlignment="1" applyProtection="1"/>
    <xf numFmtId="0" fontId="8" fillId="3" borderId="54" xfId="1" applyFont="1" applyFill="1" applyBorder="1" applyAlignment="1" applyProtection="1">
      <alignment horizontal="left" vertical="center"/>
    </xf>
    <xf numFmtId="165" fontId="17" fillId="2" borderId="50" xfId="1" applyNumberFormat="1" applyFont="1" applyFill="1" applyBorder="1" applyAlignment="1" applyProtection="1">
      <alignment horizontal="right" vertical="center"/>
    </xf>
    <xf numFmtId="10" fontId="23" fillId="2" borderId="63" xfId="1" applyNumberFormat="1" applyFont="1" applyFill="1" applyBorder="1" applyAlignment="1" applyProtection="1">
      <alignment horizontal="right" vertical="center"/>
    </xf>
    <xf numFmtId="0" fontId="39" fillId="2" borderId="0" xfId="3" applyFill="1" applyBorder="1" applyAlignment="1" applyProtection="1">
      <alignment horizontal="center" vertical="center"/>
    </xf>
    <xf numFmtId="0" fontId="1" fillId="2" borderId="0" xfId="1" applyFont="1" applyFill="1" applyBorder="1" applyAlignment="1" applyProtection="1">
      <alignment horizontal="left" vertical="center"/>
    </xf>
    <xf numFmtId="165" fontId="17" fillId="2" borderId="52" xfId="1" applyNumberFormat="1" applyFont="1" applyFill="1" applyBorder="1" applyAlignment="1" applyProtection="1">
      <alignment horizontal="right" vertical="center"/>
    </xf>
    <xf numFmtId="164" fontId="47" fillId="5" borderId="67" xfId="1" applyNumberFormat="1" applyFont="1" applyFill="1" applyBorder="1" applyAlignment="1" applyProtection="1">
      <alignment vertical="center"/>
    </xf>
    <xf numFmtId="10" fontId="47" fillId="5" borderId="67" xfId="1" applyNumberFormat="1" applyFont="1" applyFill="1" applyBorder="1" applyAlignment="1" applyProtection="1">
      <alignment horizontal="center" vertical="center"/>
    </xf>
    <xf numFmtId="0" fontId="13" fillId="2" borderId="68" xfId="1" applyFont="1" applyFill="1" applyBorder="1" applyAlignment="1" applyProtection="1">
      <alignment horizontal="center" vertical="center"/>
    </xf>
    <xf numFmtId="0" fontId="13" fillId="2" borderId="67" xfId="1" applyFont="1" applyFill="1" applyBorder="1" applyAlignment="1" applyProtection="1">
      <alignment horizontal="center" vertical="center"/>
    </xf>
    <xf numFmtId="0" fontId="2" fillId="2" borderId="68" xfId="1" applyFont="1" applyFill="1" applyBorder="1" applyAlignment="1" applyProtection="1">
      <alignment horizontal="center" vertical="center"/>
    </xf>
    <xf numFmtId="0" fontId="2" fillId="2" borderId="67" xfId="1" applyFont="1" applyFill="1" applyBorder="1" applyAlignment="1" applyProtection="1">
      <alignment horizontal="center" vertical="center"/>
    </xf>
    <xf numFmtId="0" fontId="13" fillId="2" borderId="69" xfId="1" applyFont="1" applyFill="1" applyBorder="1" applyAlignment="1" applyProtection="1">
      <alignment horizontal="center" vertical="center"/>
    </xf>
    <xf numFmtId="0" fontId="41" fillId="2" borderId="3" xfId="1" applyFont="1" applyFill="1" applyBorder="1" applyAlignment="1" applyProtection="1">
      <alignment vertical="center"/>
    </xf>
    <xf numFmtId="164" fontId="35" fillId="4" borderId="89" xfId="2" applyNumberFormat="1" applyFont="1" applyFill="1" applyBorder="1" applyAlignment="1" applyProtection="1">
      <alignment horizontal="right"/>
    </xf>
    <xf numFmtId="164" fontId="35" fillId="4" borderId="90" xfId="2" applyNumberFormat="1" applyFont="1" applyFill="1" applyBorder="1" applyAlignment="1" applyProtection="1">
      <alignment horizontal="right"/>
    </xf>
    <xf numFmtId="164" fontId="35" fillId="4" borderId="85" xfId="2" applyNumberFormat="1" applyFont="1" applyFill="1" applyBorder="1" applyAlignment="1" applyProtection="1">
      <alignment horizontal="right"/>
    </xf>
    <xf numFmtId="0" fontId="35" fillId="4" borderId="91" xfId="2" applyNumberFormat="1" applyFont="1" applyFill="1" applyBorder="1" applyAlignment="1" applyProtection="1">
      <alignment horizontal="center"/>
    </xf>
    <xf numFmtId="166" fontId="35" fillId="4" borderId="91" xfId="2" applyNumberFormat="1" applyFont="1" applyFill="1" applyBorder="1" applyAlignment="1" applyProtection="1">
      <alignment horizontal="center"/>
    </xf>
    <xf numFmtId="164" fontId="35" fillId="4" borderId="92" xfId="2" applyNumberFormat="1" applyFont="1" applyFill="1" applyBorder="1" applyAlignment="1" applyProtection="1">
      <alignment horizontal="right"/>
    </xf>
    <xf numFmtId="164" fontId="35" fillId="4" borderId="93" xfId="2" applyNumberFormat="1" applyFont="1" applyFill="1" applyBorder="1" applyAlignment="1" applyProtection="1">
      <alignment horizontal="right"/>
    </xf>
    <xf numFmtId="0" fontId="45" fillId="4" borderId="86" xfId="2" applyNumberFormat="1" applyFont="1" applyFill="1" applyBorder="1" applyAlignment="1" applyProtection="1">
      <alignment horizontal="center" vertical="center"/>
    </xf>
    <xf numFmtId="0" fontId="45" fillId="4" borderId="94" xfId="2" applyNumberFormat="1" applyFont="1" applyFill="1" applyBorder="1" applyAlignment="1" applyProtection="1">
      <alignment horizontal="center" vertical="center"/>
    </xf>
    <xf numFmtId="0" fontId="3" fillId="2" borderId="75" xfId="1" applyFont="1" applyFill="1" applyBorder="1" applyAlignment="1" applyProtection="1">
      <alignment horizontal="center" vertical="center"/>
    </xf>
    <xf numFmtId="0" fontId="51" fillId="2" borderId="0" xfId="3" applyFont="1" applyFill="1" applyBorder="1" applyAlignment="1" applyProtection="1">
      <alignment vertical="center"/>
    </xf>
    <xf numFmtId="0" fontId="51" fillId="2" borderId="0" xfId="3" applyFont="1" applyFill="1" applyBorder="1" applyAlignment="1" applyProtection="1">
      <alignment horizontal="center" vertical="center"/>
    </xf>
    <xf numFmtId="164" fontId="7" fillId="7" borderId="38" xfId="1" applyNumberFormat="1" applyFont="1" applyFill="1" applyBorder="1" applyAlignment="1" applyProtection="1">
      <alignment horizontal="right"/>
      <protection locked="0"/>
    </xf>
    <xf numFmtId="10" fontId="7" fillId="7" borderId="38" xfId="1" applyNumberFormat="1" applyFont="1" applyFill="1" applyBorder="1" applyAlignment="1" applyProtection="1">
      <alignment horizontal="right"/>
      <protection locked="0"/>
    </xf>
    <xf numFmtId="0" fontId="7" fillId="7" borderId="38" xfId="1" applyNumberFormat="1" applyFont="1" applyFill="1" applyBorder="1" applyAlignment="1" applyProtection="1">
      <alignment horizontal="right"/>
      <protection locked="0"/>
    </xf>
    <xf numFmtId="0" fontId="7" fillId="7" borderId="38" xfId="1" applyFont="1" applyFill="1" applyBorder="1" applyAlignment="1" applyProtection="1">
      <alignment horizontal="right"/>
      <protection locked="0"/>
    </xf>
    <xf numFmtId="164" fontId="7" fillId="7" borderId="40" xfId="1" applyNumberFormat="1" applyFont="1" applyFill="1" applyBorder="1" applyAlignment="1" applyProtection="1">
      <alignment horizontal="right"/>
      <protection locked="0"/>
    </xf>
    <xf numFmtId="0" fontId="48" fillId="6" borderId="107" xfId="1" applyNumberFormat="1" applyFont="1" applyFill="1" applyBorder="1" applyAlignment="1" applyProtection="1">
      <alignment horizontal="center"/>
    </xf>
    <xf numFmtId="0" fontId="52" fillId="6" borderId="21" xfId="1" applyNumberFormat="1" applyFont="1" applyFill="1" applyBorder="1" applyAlignment="1" applyProtection="1">
      <alignment horizontal="right"/>
    </xf>
    <xf numFmtId="165" fontId="17" fillId="2" borderId="3" xfId="1" applyNumberFormat="1" applyFont="1" applyFill="1" applyBorder="1" applyAlignment="1" applyProtection="1">
      <alignment horizontal="right" vertical="center"/>
    </xf>
    <xf numFmtId="0" fontId="41" fillId="2" borderId="4" xfId="1" applyFont="1" applyFill="1" applyBorder="1" applyAlignment="1" applyProtection="1">
      <alignment vertical="center"/>
    </xf>
    <xf numFmtId="0" fontId="41" fillId="2" borderId="0" xfId="1" applyFont="1" applyFill="1" applyBorder="1" applyAlignment="1" applyProtection="1">
      <alignment vertical="center"/>
    </xf>
    <xf numFmtId="164" fontId="35" fillId="4" borderId="115" xfId="2" applyNumberFormat="1" applyFont="1" applyFill="1" applyBorder="1" applyAlignment="1" applyProtection="1">
      <alignment horizontal="right"/>
    </xf>
    <xf numFmtId="0" fontId="1" fillId="2" borderId="0" xfId="1" applyFont="1" applyFill="1" applyBorder="1" applyAlignment="1" applyProtection="1">
      <alignment vertical="center"/>
    </xf>
    <xf numFmtId="0" fontId="7" fillId="7" borderId="29" xfId="1" applyFont="1" applyFill="1" applyBorder="1" applyAlignment="1" applyProtection="1">
      <alignment horizontal="center" vertical="center"/>
      <protection locked="0"/>
    </xf>
    <xf numFmtId="0" fontId="1" fillId="2" borderId="42" xfId="1" applyFont="1" applyFill="1" applyBorder="1" applyAlignment="1" applyProtection="1">
      <alignment vertical="center"/>
    </xf>
    <xf numFmtId="2" fontId="7" fillId="6" borderId="30" xfId="1" applyNumberFormat="1" applyFont="1" applyFill="1" applyBorder="1" applyAlignment="1" applyProtection="1">
      <alignment horizontal="center" vertical="center"/>
    </xf>
    <xf numFmtId="0" fontId="34" fillId="3" borderId="120" xfId="1" applyFont="1" applyFill="1" applyBorder="1" applyAlignment="1" applyProtection="1">
      <alignment vertical="center"/>
    </xf>
    <xf numFmtId="0" fontId="1" fillId="2" borderId="123" xfId="1" applyFont="1" applyFill="1" applyBorder="1" applyAlignment="1" applyProtection="1">
      <alignment horizontal="left" vertical="center"/>
    </xf>
    <xf numFmtId="0" fontId="23" fillId="10" borderId="29" xfId="1" applyFont="1" applyFill="1" applyBorder="1" applyAlignment="1" applyProtection="1">
      <alignment horizontal="center" vertical="center"/>
    </xf>
    <xf numFmtId="0" fontId="1" fillId="10" borderId="25" xfId="1" applyFont="1" applyFill="1" applyBorder="1" applyAlignment="1" applyProtection="1">
      <alignment horizontal="left" vertical="center"/>
    </xf>
    <xf numFmtId="0" fontId="1" fillId="10" borderId="37" xfId="1" applyFont="1" applyFill="1" applyBorder="1" applyAlignment="1" applyProtection="1">
      <alignment horizontal="left" vertical="center"/>
    </xf>
    <xf numFmtId="0" fontId="1" fillId="10" borderId="24" xfId="1" applyFont="1" applyFill="1" applyBorder="1" applyAlignment="1" applyProtection="1">
      <alignment horizontal="left" vertical="center"/>
    </xf>
    <xf numFmtId="0" fontId="1" fillId="10" borderId="39" xfId="1" applyFont="1" applyFill="1" applyBorder="1" applyAlignment="1" applyProtection="1">
      <alignment horizontal="left" vertical="center"/>
    </xf>
    <xf numFmtId="0" fontId="31" fillId="10" borderId="22" xfId="1" applyFont="1" applyFill="1" applyBorder="1" applyAlignment="1" applyProtection="1">
      <alignment horizontal="left" vertical="center"/>
    </xf>
    <xf numFmtId="0" fontId="31" fillId="10" borderId="23" xfId="1" applyFont="1" applyFill="1" applyBorder="1" applyAlignment="1" applyProtection="1">
      <alignment horizontal="left" vertical="center"/>
    </xf>
    <xf numFmtId="168" fontId="31" fillId="11" borderId="45" xfId="2" applyNumberFormat="1" applyFont="1" applyFill="1" applyBorder="1" applyAlignment="1" applyProtection="1"/>
    <xf numFmtId="168" fontId="31" fillId="11" borderId="80" xfId="2" applyNumberFormat="1" applyFont="1" applyFill="1" applyBorder="1" applyAlignment="1" applyProtection="1"/>
    <xf numFmtId="168" fontId="31" fillId="11" borderId="81" xfId="2" applyNumberFormat="1" applyFont="1" applyFill="1" applyBorder="1" applyAlignment="1" applyProtection="1"/>
    <xf numFmtId="165" fontId="60" fillId="12" borderId="43" xfId="2" applyFont="1" applyFill="1" applyBorder="1" applyAlignment="1" applyProtection="1">
      <alignment horizontal="center" vertical="center"/>
    </xf>
    <xf numFmtId="168" fontId="31" fillId="12" borderId="30" xfId="2" applyNumberFormat="1" applyFont="1" applyFill="1" applyBorder="1" applyAlignment="1" applyProtection="1"/>
    <xf numFmtId="165" fontId="3" fillId="12" borderId="43" xfId="2" applyFont="1" applyFill="1" applyBorder="1" applyAlignment="1" applyProtection="1">
      <alignment horizontal="center" vertical="center"/>
    </xf>
    <xf numFmtId="165" fontId="45" fillId="13" borderId="33" xfId="2" applyFont="1" applyFill="1" applyBorder="1" applyAlignment="1" applyProtection="1">
      <alignment horizontal="center" vertical="center"/>
    </xf>
    <xf numFmtId="165" fontId="45" fillId="13" borderId="41" xfId="2" applyFont="1" applyFill="1" applyBorder="1" applyAlignment="1" applyProtection="1">
      <alignment horizontal="center" vertical="center"/>
    </xf>
    <xf numFmtId="0" fontId="2" fillId="2" borderId="76" xfId="1" applyFont="1" applyFill="1" applyBorder="1" applyAlignment="1" applyProtection="1">
      <alignment horizontal="center" vertical="center"/>
    </xf>
    <xf numFmtId="168" fontId="69" fillId="12" borderId="30" xfId="2" applyNumberFormat="1" applyFont="1" applyFill="1" applyBorder="1" applyAlignment="1" applyProtection="1"/>
    <xf numFmtId="0" fontId="0" fillId="2" borderId="0" xfId="0" applyFill="1" applyProtection="1"/>
    <xf numFmtId="0" fontId="2" fillId="2" borderId="0" xfId="0" applyFont="1" applyFill="1" applyProtection="1"/>
    <xf numFmtId="0" fontId="3" fillId="2" borderId="0" xfId="0" applyFont="1" applyFill="1" applyProtection="1"/>
    <xf numFmtId="0" fontId="0" fillId="0" borderId="0" xfId="0" applyProtection="1"/>
    <xf numFmtId="0" fontId="0" fillId="2" borderId="0" xfId="0" applyFill="1" applyAlignment="1" applyProtection="1">
      <alignment vertical="center"/>
    </xf>
    <xf numFmtId="0" fontId="68" fillId="9" borderId="0" xfId="0" applyFont="1" applyFill="1" applyBorder="1" applyAlignment="1" applyProtection="1">
      <alignment horizontal="right" vertical="center"/>
    </xf>
    <xf numFmtId="0" fontId="24" fillId="2" borderId="0" xfId="0" applyFont="1" applyFill="1" applyAlignment="1" applyProtection="1">
      <alignment vertical="center"/>
    </xf>
    <xf numFmtId="0" fontId="42" fillId="2" borderId="0" xfId="0" applyFont="1" applyFill="1" applyAlignment="1" applyProtection="1">
      <alignment vertical="center"/>
    </xf>
    <xf numFmtId="0" fontId="32" fillId="2" borderId="0" xfId="0" applyFont="1" applyFill="1" applyBorder="1" applyAlignment="1" applyProtection="1">
      <alignment vertical="center"/>
    </xf>
    <xf numFmtId="0" fontId="28" fillId="2" borderId="0" xfId="0" applyFont="1" applyFill="1" applyBorder="1" applyAlignment="1" applyProtection="1">
      <alignment horizontal="center" vertical="center"/>
    </xf>
    <xf numFmtId="0" fontId="2" fillId="2" borderId="117" xfId="0" applyFont="1" applyFill="1" applyBorder="1" applyProtection="1"/>
    <xf numFmtId="0" fontId="2" fillId="2" borderId="119" xfId="0" applyFont="1" applyFill="1" applyBorder="1" applyAlignment="1" applyProtection="1">
      <alignment horizontal="center" vertical="center"/>
    </xf>
    <xf numFmtId="0" fontId="0" fillId="2" borderId="51" xfId="0" applyFill="1" applyBorder="1" applyProtection="1"/>
    <xf numFmtId="0" fontId="0" fillId="2" borderId="53" xfId="0" applyFill="1" applyBorder="1" applyProtection="1"/>
    <xf numFmtId="0" fontId="0" fillId="2" borderId="0" xfId="0" applyFill="1" applyBorder="1" applyProtection="1"/>
    <xf numFmtId="0" fontId="0" fillId="2" borderId="59" xfId="0" applyFill="1" applyBorder="1" applyProtection="1"/>
    <xf numFmtId="0" fontId="41" fillId="2" borderId="60" xfId="0" applyFont="1" applyFill="1" applyBorder="1" applyAlignment="1" applyProtection="1">
      <alignment horizontal="center" vertical="center"/>
    </xf>
    <xf numFmtId="0" fontId="0" fillId="2" borderId="61" xfId="0" applyFill="1" applyBorder="1" applyProtection="1"/>
    <xf numFmtId="2" fontId="0" fillId="2" borderId="0" xfId="0" applyNumberFormat="1" applyFill="1" applyBorder="1" applyProtection="1"/>
    <xf numFmtId="0" fontId="3" fillId="2" borderId="121" xfId="0" applyFont="1" applyFill="1" applyBorder="1" applyAlignment="1" applyProtection="1">
      <alignment horizontal="center" vertical="center"/>
    </xf>
    <xf numFmtId="0" fontId="0" fillId="2" borderId="54" xfId="0" applyFill="1" applyBorder="1" applyProtection="1"/>
    <xf numFmtId="0" fontId="0" fillId="2" borderId="55" xfId="0" applyFill="1" applyBorder="1" applyProtection="1"/>
    <xf numFmtId="0" fontId="0" fillId="2" borderId="62" xfId="0" applyFill="1" applyBorder="1" applyProtection="1"/>
    <xf numFmtId="3" fontId="48" fillId="5" borderId="67" xfId="0" applyNumberFormat="1" applyFont="1" applyFill="1" applyBorder="1" applyAlignment="1" applyProtection="1">
      <alignment horizontal="center" vertical="center" wrapText="1"/>
    </xf>
    <xf numFmtId="0" fontId="3" fillId="2" borderId="68" xfId="0" applyFont="1" applyFill="1" applyBorder="1" applyAlignment="1" applyProtection="1">
      <alignment horizontal="center" vertical="center"/>
    </xf>
    <xf numFmtId="164" fontId="23" fillId="2" borderId="63" xfId="0" applyNumberFormat="1" applyFont="1" applyFill="1" applyBorder="1" applyAlignment="1" applyProtection="1">
      <alignment horizontal="right" vertical="center"/>
    </xf>
    <xf numFmtId="164" fontId="23" fillId="2" borderId="0" xfId="0" applyNumberFormat="1" applyFont="1" applyFill="1" applyBorder="1" applyAlignment="1" applyProtection="1">
      <alignment horizontal="right" vertical="center"/>
    </xf>
    <xf numFmtId="0" fontId="0" fillId="2" borderId="120" xfId="0" applyFill="1" applyBorder="1" applyProtection="1"/>
    <xf numFmtId="164" fontId="7" fillId="2" borderId="121" xfId="1" applyNumberFormat="1" applyFont="1" applyFill="1" applyBorder="1" applyAlignment="1" applyProtection="1">
      <alignment horizontal="right" vertical="center"/>
    </xf>
    <xf numFmtId="164" fontId="9" fillId="2" borderId="0" xfId="0" applyNumberFormat="1" applyFont="1" applyFill="1" applyBorder="1" applyAlignment="1" applyProtection="1"/>
    <xf numFmtId="164" fontId="48" fillId="5" borderId="67" xfId="0" applyNumberFormat="1" applyFont="1" applyFill="1" applyBorder="1" applyAlignment="1" applyProtection="1"/>
    <xf numFmtId="0" fontId="3" fillId="2" borderId="69" xfId="0" applyFont="1" applyFill="1" applyBorder="1" applyAlignment="1" applyProtection="1">
      <alignment horizontal="center" vertical="center"/>
    </xf>
    <xf numFmtId="10" fontId="7" fillId="2" borderId="121" xfId="1" applyNumberFormat="1" applyFont="1" applyFill="1" applyBorder="1" applyAlignment="1" applyProtection="1">
      <alignment horizontal="right" vertical="center"/>
    </xf>
    <xf numFmtId="0" fontId="0" fillId="2" borderId="0" xfId="0" applyFill="1" applyAlignment="1" applyProtection="1">
      <alignment horizontal="left" vertical="center"/>
    </xf>
    <xf numFmtId="0" fontId="0" fillId="2" borderId="54" xfId="0" applyFill="1" applyBorder="1" applyAlignment="1" applyProtection="1">
      <alignment horizontal="left" vertical="center"/>
    </xf>
    <xf numFmtId="164" fontId="48" fillId="5" borderId="67" xfId="0" applyNumberFormat="1" applyFont="1" applyFill="1" applyBorder="1" applyAlignment="1" applyProtection="1">
      <alignment horizontal="center" vertical="center"/>
    </xf>
    <xf numFmtId="0" fontId="3" fillId="2" borderId="95" xfId="0" applyFont="1" applyFill="1" applyBorder="1" applyAlignment="1" applyProtection="1">
      <alignment horizontal="center" vertical="center"/>
    </xf>
    <xf numFmtId="0" fontId="11" fillId="2" borderId="63"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7" fillId="2" borderId="121" xfId="1" applyNumberFormat="1" applyFont="1" applyFill="1" applyBorder="1" applyAlignment="1" applyProtection="1">
      <alignment horizontal="right" vertical="center"/>
    </xf>
    <xf numFmtId="0" fontId="12" fillId="2" borderId="0" xfId="0" applyFont="1" applyFill="1" applyAlignment="1" applyProtection="1">
      <alignment horizontal="left" vertical="center"/>
    </xf>
    <xf numFmtId="0" fontId="12" fillId="2" borderId="54" xfId="0" applyFont="1" applyFill="1" applyBorder="1" applyAlignment="1" applyProtection="1">
      <alignment horizontal="left" vertical="center"/>
    </xf>
    <xf numFmtId="0" fontId="3" fillId="2" borderId="55" xfId="0" applyFont="1" applyFill="1" applyBorder="1" applyProtection="1"/>
    <xf numFmtId="0" fontId="3" fillId="2" borderId="0" xfId="0" applyFont="1" applyFill="1" applyBorder="1" applyProtection="1"/>
    <xf numFmtId="0" fontId="3" fillId="2" borderId="62" xfId="0" applyFont="1" applyFill="1" applyBorder="1" applyProtection="1"/>
    <xf numFmtId="0" fontId="48" fillId="5" borderId="67" xfId="0" applyFont="1" applyFill="1" applyBorder="1" applyAlignment="1" applyProtection="1">
      <alignment horizontal="center" vertical="center"/>
    </xf>
    <xf numFmtId="0" fontId="3" fillId="2" borderId="96" xfId="0" applyFont="1" applyFill="1" applyBorder="1" applyAlignment="1" applyProtection="1">
      <alignment horizontal="center" vertical="center"/>
    </xf>
    <xf numFmtId="0" fontId="7" fillId="2" borderId="121" xfId="1" applyFont="1" applyFill="1" applyBorder="1" applyAlignment="1" applyProtection="1">
      <alignment horizontal="right" vertical="center"/>
    </xf>
    <xf numFmtId="0" fontId="3" fillId="2" borderId="75" xfId="0" applyFont="1" applyFill="1" applyBorder="1" applyAlignment="1" applyProtection="1">
      <alignment horizontal="center" vertical="center"/>
    </xf>
    <xf numFmtId="4" fontId="7" fillId="2" borderId="121" xfId="1" applyNumberFormat="1" applyFont="1" applyFill="1" applyBorder="1" applyAlignment="1" applyProtection="1">
      <alignment horizontal="right" vertical="center"/>
    </xf>
    <xf numFmtId="0" fontId="6" fillId="6" borderId="20" xfId="0" applyFont="1" applyFill="1" applyBorder="1" applyAlignment="1" applyProtection="1">
      <alignment horizontal="center"/>
    </xf>
    <xf numFmtId="0" fontId="53" fillId="6" borderId="107" xfId="0" applyFont="1" applyFill="1" applyBorder="1" applyAlignment="1" applyProtection="1">
      <alignment horizontal="right"/>
    </xf>
    <xf numFmtId="0" fontId="35" fillId="2" borderId="55" xfId="0" applyFont="1" applyFill="1" applyBorder="1" applyProtection="1"/>
    <xf numFmtId="0" fontId="48" fillId="6" borderId="68" xfId="0" applyFont="1" applyFill="1" applyBorder="1" applyAlignment="1" applyProtection="1">
      <alignment horizontal="center"/>
    </xf>
    <xf numFmtId="0" fontId="52" fillId="6" borderId="99" xfId="0" applyFont="1" applyFill="1" applyBorder="1" applyAlignment="1" applyProtection="1">
      <alignment horizontal="right"/>
    </xf>
    <xf numFmtId="0" fontId="7" fillId="6" borderId="68" xfId="0" applyFont="1" applyFill="1" applyBorder="1" applyAlignment="1" applyProtection="1">
      <alignment horizontal="center"/>
    </xf>
    <xf numFmtId="0" fontId="54" fillId="6" borderId="61" xfId="0" applyFont="1" applyFill="1" applyBorder="1" applyAlignment="1" applyProtection="1">
      <alignment horizontal="right"/>
    </xf>
    <xf numFmtId="4" fontId="7" fillId="2" borderId="27" xfId="1" applyNumberFormat="1" applyFont="1" applyFill="1" applyBorder="1" applyAlignment="1" applyProtection="1">
      <alignment horizontal="right" vertical="center"/>
    </xf>
    <xf numFmtId="164" fontId="6" fillId="2" borderId="67" xfId="0" applyNumberFormat="1" applyFont="1" applyFill="1" applyBorder="1" applyAlignment="1" applyProtection="1">
      <alignment vertical="center" wrapText="1"/>
    </xf>
    <xf numFmtId="0" fontId="0" fillId="2" borderId="122" xfId="0" applyFill="1" applyBorder="1" applyProtection="1"/>
    <xf numFmtId="4" fontId="7" fillId="2" borderId="123" xfId="1" applyNumberFormat="1" applyFont="1" applyFill="1" applyBorder="1" applyAlignment="1" applyProtection="1">
      <alignment horizontal="right" vertical="center"/>
    </xf>
    <xf numFmtId="4" fontId="7" fillId="2" borderId="124" xfId="1" applyNumberFormat="1" applyFont="1" applyFill="1" applyBorder="1" applyAlignment="1" applyProtection="1">
      <alignment horizontal="right" vertical="center"/>
    </xf>
    <xf numFmtId="0" fontId="11" fillId="2" borderId="67" xfId="0" applyFont="1" applyFill="1" applyBorder="1" applyAlignment="1" applyProtection="1">
      <alignment horizontal="center" vertical="center" wrapText="1"/>
    </xf>
    <xf numFmtId="4" fontId="7" fillId="2" borderId="0" xfId="1" applyNumberFormat="1" applyFont="1" applyFill="1" applyBorder="1" applyAlignment="1" applyProtection="1">
      <alignment horizontal="right" vertical="center"/>
    </xf>
    <xf numFmtId="164" fontId="3" fillId="2" borderId="0" xfId="0" applyNumberFormat="1" applyFont="1" applyFill="1" applyProtection="1"/>
    <xf numFmtId="0" fontId="0" fillId="2" borderId="13" xfId="0" applyFill="1" applyBorder="1" applyProtection="1"/>
    <xf numFmtId="0" fontId="26" fillId="10" borderId="116" xfId="0" applyFont="1" applyFill="1" applyBorder="1" applyAlignment="1" applyProtection="1">
      <alignment horizontal="center" vertical="top"/>
    </xf>
    <xf numFmtId="0" fontId="44" fillId="2" borderId="14" xfId="0" applyFont="1" applyFill="1" applyBorder="1" applyAlignment="1" applyProtection="1">
      <alignment vertical="center"/>
    </xf>
    <xf numFmtId="168" fontId="52" fillId="6" borderId="133" xfId="0" applyNumberFormat="1" applyFont="1" applyFill="1" applyBorder="1" applyAlignment="1" applyProtection="1">
      <alignment horizontal="center"/>
    </xf>
    <xf numFmtId="168" fontId="48" fillId="6" borderId="82" xfId="0" applyNumberFormat="1" applyFont="1" applyFill="1" applyBorder="1" applyAlignment="1" applyProtection="1">
      <alignment horizontal="right"/>
    </xf>
    <xf numFmtId="168" fontId="53" fillId="6" borderId="133" xfId="0" applyNumberFormat="1" applyFont="1" applyFill="1" applyBorder="1" applyAlignment="1" applyProtection="1">
      <alignment horizontal="center"/>
    </xf>
    <xf numFmtId="168" fontId="6" fillId="6" borderId="82" xfId="0" applyNumberFormat="1" applyFont="1" applyFill="1" applyBorder="1" applyAlignment="1" applyProtection="1">
      <alignment horizontal="right"/>
    </xf>
    <xf numFmtId="0" fontId="2" fillId="2" borderId="95" xfId="0" applyFont="1" applyFill="1" applyBorder="1" applyAlignment="1" applyProtection="1">
      <alignment horizontal="center" vertical="center" wrapText="1"/>
    </xf>
    <xf numFmtId="168" fontId="52" fillId="6" borderId="95" xfId="0" applyNumberFormat="1" applyFont="1" applyFill="1" applyBorder="1" applyAlignment="1" applyProtection="1">
      <alignment horizontal="center"/>
    </xf>
    <xf numFmtId="168" fontId="48" fillId="6" borderId="100" xfId="0" applyNumberFormat="1" applyFont="1" applyFill="1" applyBorder="1" applyAlignment="1" applyProtection="1">
      <alignment horizontal="right"/>
    </xf>
    <xf numFmtId="0" fontId="3" fillId="2" borderId="95" xfId="0" applyFont="1" applyFill="1" applyBorder="1" applyAlignment="1" applyProtection="1">
      <alignment horizontal="center" vertical="center" wrapText="1"/>
    </xf>
    <xf numFmtId="168" fontId="54" fillId="6" borderId="95" xfId="0" applyNumberFormat="1" applyFont="1" applyFill="1" applyBorder="1" applyAlignment="1" applyProtection="1">
      <alignment horizontal="center"/>
    </xf>
    <xf numFmtId="168" fontId="7" fillId="6" borderId="100" xfId="0" applyNumberFormat="1" applyFont="1" applyFill="1" applyBorder="1" applyAlignment="1" applyProtection="1">
      <alignment horizontal="right"/>
    </xf>
    <xf numFmtId="0" fontId="0" fillId="2" borderId="15" xfId="0" applyFill="1" applyBorder="1" applyProtection="1"/>
    <xf numFmtId="4" fontId="7" fillId="2" borderId="16" xfId="1" applyNumberFormat="1" applyFont="1" applyFill="1" applyBorder="1" applyAlignment="1" applyProtection="1">
      <alignment horizontal="right" vertical="center"/>
    </xf>
    <xf numFmtId="0" fontId="2" fillId="2" borderId="58" xfId="0" applyFont="1" applyFill="1" applyBorder="1" applyAlignment="1" applyProtection="1">
      <alignment horizontal="center" vertical="center"/>
    </xf>
    <xf numFmtId="0" fontId="3" fillId="2" borderId="58" xfId="0" applyFont="1" applyFill="1" applyBorder="1" applyAlignment="1" applyProtection="1">
      <alignment horizontal="center" vertical="center"/>
    </xf>
    <xf numFmtId="164" fontId="7" fillId="5" borderId="0" xfId="1" applyNumberFormat="1" applyFont="1" applyFill="1" applyBorder="1" applyAlignment="1" applyProtection="1">
      <alignment vertical="center"/>
    </xf>
    <xf numFmtId="0" fontId="3" fillId="2" borderId="64" xfId="0" applyFont="1" applyFill="1" applyBorder="1" applyProtection="1"/>
    <xf numFmtId="0" fontId="11" fillId="2" borderId="65" xfId="0" applyFont="1" applyFill="1" applyBorder="1" applyAlignment="1" applyProtection="1">
      <alignment horizontal="center" vertical="center" wrapText="1"/>
    </xf>
    <xf numFmtId="0" fontId="11" fillId="2" borderId="66" xfId="0" applyFont="1" applyFill="1" applyBorder="1" applyAlignment="1" applyProtection="1">
      <alignment horizontal="center" vertical="center" wrapText="1"/>
    </xf>
    <xf numFmtId="0" fontId="0" fillId="2" borderId="51" xfId="0" applyFill="1" applyBorder="1" applyAlignment="1" applyProtection="1">
      <alignment horizontal="left" vertical="center"/>
    </xf>
    <xf numFmtId="0" fontId="0" fillId="2" borderId="52" xfId="0" applyFill="1" applyBorder="1" applyProtection="1"/>
    <xf numFmtId="0" fontId="3" fillId="2" borderId="53" xfId="0" applyFont="1" applyFill="1" applyBorder="1" applyProtection="1"/>
    <xf numFmtId="0" fontId="11" fillId="2" borderId="61" xfId="0" applyFont="1" applyFill="1" applyBorder="1" applyAlignment="1" applyProtection="1">
      <alignment horizontal="center" vertical="center" wrapText="1"/>
    </xf>
    <xf numFmtId="0" fontId="29" fillId="10" borderId="73" xfId="0" applyFont="1" applyFill="1" applyBorder="1" applyAlignment="1" applyProtection="1">
      <alignment horizontal="center" vertical="center"/>
    </xf>
    <xf numFmtId="0" fontId="29" fillId="10" borderId="78" xfId="0" applyFont="1" applyFill="1" applyBorder="1" applyAlignment="1" applyProtection="1">
      <alignment horizontal="center" vertical="center"/>
    </xf>
    <xf numFmtId="10" fontId="7" fillId="2" borderId="84" xfId="0" applyNumberFormat="1" applyFont="1" applyFill="1" applyBorder="1" applyAlignment="1" applyProtection="1">
      <alignment vertical="center"/>
    </xf>
    <xf numFmtId="4" fontId="1" fillId="2" borderId="0" xfId="1" applyNumberFormat="1" applyFont="1" applyFill="1" applyBorder="1" applyAlignment="1" applyProtection="1">
      <alignment vertical="center"/>
    </xf>
    <xf numFmtId="0" fontId="11" fillId="2" borderId="79" xfId="0" applyFont="1" applyFill="1" applyBorder="1" applyAlignment="1" applyProtection="1">
      <alignment horizontal="center" vertical="center" wrapText="1"/>
    </xf>
    <xf numFmtId="0" fontId="29" fillId="10" borderId="77" xfId="0" applyFont="1" applyFill="1" applyBorder="1" applyAlignment="1" applyProtection="1">
      <alignment horizontal="center" vertical="center"/>
    </xf>
    <xf numFmtId="164" fontId="7" fillId="2" borderId="83" xfId="0" applyNumberFormat="1" applyFont="1" applyFill="1" applyBorder="1" applyAlignment="1" applyProtection="1">
      <alignment vertical="center"/>
    </xf>
    <xf numFmtId="0" fontId="0" fillId="2" borderId="17" xfId="0" applyFill="1" applyBorder="1" applyProtection="1"/>
    <xf numFmtId="4" fontId="7" fillId="2" borderId="18" xfId="1" applyNumberFormat="1" applyFont="1" applyFill="1" applyBorder="1" applyAlignment="1" applyProtection="1">
      <alignment horizontal="right" vertical="center"/>
    </xf>
    <xf numFmtId="4" fontId="7" fillId="2" borderId="19" xfId="1" applyNumberFormat="1" applyFont="1" applyFill="1" applyBorder="1" applyAlignment="1" applyProtection="1">
      <alignment horizontal="right" vertical="center"/>
    </xf>
    <xf numFmtId="0" fontId="0" fillId="2" borderId="56" xfId="0" applyFill="1" applyBorder="1" applyAlignment="1" applyProtection="1">
      <alignment horizontal="left" vertical="center"/>
    </xf>
    <xf numFmtId="0" fontId="0" fillId="2" borderId="50" xfId="0" applyFill="1" applyBorder="1" applyProtection="1"/>
    <xf numFmtId="0" fontId="3" fillId="2" borderId="57" xfId="0" applyFont="1" applyFill="1" applyBorder="1" applyProtection="1"/>
    <xf numFmtId="0" fontId="37" fillId="2" borderId="0" xfId="0" applyFont="1" applyFill="1" applyAlignment="1" applyProtection="1">
      <alignment vertical="center"/>
    </xf>
    <xf numFmtId="0" fontId="37" fillId="2" borderId="0" xfId="0" applyFont="1" applyFill="1" applyAlignment="1" applyProtection="1">
      <alignment horizontal="center" vertical="center"/>
    </xf>
    <xf numFmtId="0" fontId="44" fillId="2" borderId="0" xfId="0" applyFont="1" applyFill="1" applyBorder="1" applyAlignment="1" applyProtection="1">
      <alignment vertical="center"/>
    </xf>
    <xf numFmtId="0" fontId="43" fillId="2" borderId="0" xfId="0" applyFont="1" applyFill="1" applyAlignment="1" applyProtection="1">
      <alignment horizontal="center" vertical="center"/>
    </xf>
    <xf numFmtId="0" fontId="36" fillId="2" borderId="0" xfId="0" applyFont="1" applyFill="1" applyProtection="1"/>
    <xf numFmtId="0" fontId="20" fillId="2" borderId="0" xfId="0" applyFont="1" applyFill="1" applyBorder="1" applyAlignment="1" applyProtection="1"/>
    <xf numFmtId="0" fontId="21" fillId="2" borderId="0" xfId="0" applyFont="1" applyFill="1" applyBorder="1" applyAlignment="1" applyProtection="1"/>
    <xf numFmtId="0" fontId="3" fillId="2" borderId="0" xfId="0" applyFont="1" applyFill="1" applyBorder="1" applyAlignment="1" applyProtection="1"/>
    <xf numFmtId="0" fontId="22" fillId="2" borderId="0" xfId="0" applyFont="1" applyFill="1" applyBorder="1" applyAlignment="1" applyProtection="1">
      <alignment vertical="center"/>
    </xf>
    <xf numFmtId="0" fontId="50" fillId="2" borderId="0" xfId="0" applyFont="1" applyFill="1" applyBorder="1" applyAlignment="1" applyProtection="1"/>
    <xf numFmtId="0" fontId="3" fillId="2" borderId="0" xfId="0" applyFont="1" applyFill="1" applyBorder="1" applyAlignment="1" applyProtection="1">
      <alignment vertical="center"/>
    </xf>
    <xf numFmtId="0" fontId="21" fillId="2" borderId="0" xfId="0" applyFont="1" applyFill="1" applyBorder="1" applyAlignment="1" applyProtection="1">
      <alignment vertical="center"/>
    </xf>
    <xf numFmtId="0" fontId="0" fillId="2" borderId="0" xfId="0" applyFont="1" applyFill="1" applyProtection="1"/>
    <xf numFmtId="0" fontId="20" fillId="2" borderId="0" xfId="0" applyFont="1" applyFill="1" applyBorder="1" applyAlignment="1" applyProtection="1">
      <alignment horizontal="center"/>
    </xf>
    <xf numFmtId="0" fontId="21" fillId="2" borderId="0" xfId="0" applyFont="1" applyFill="1" applyBorder="1" applyAlignment="1" applyProtection="1">
      <alignment horizontal="center"/>
    </xf>
    <xf numFmtId="0" fontId="55" fillId="2" borderId="0" xfId="3" applyFont="1" applyFill="1" applyBorder="1" applyAlignment="1" applyProtection="1">
      <alignment vertical="top"/>
    </xf>
    <xf numFmtId="0" fontId="0" fillId="5" borderId="0" xfId="0" applyFill="1" applyBorder="1" applyAlignment="1" applyProtection="1"/>
    <xf numFmtId="0" fontId="0" fillId="10" borderId="0" xfId="0" applyFill="1" applyAlignment="1" applyProtection="1"/>
    <xf numFmtId="0" fontId="0" fillId="5" borderId="0" xfId="0" applyFill="1" applyAlignment="1" applyProtection="1"/>
    <xf numFmtId="0" fontId="25" fillId="2" borderId="0" xfId="0" applyFont="1" applyFill="1" applyProtection="1"/>
    <xf numFmtId="0" fontId="75" fillId="5" borderId="0" xfId="0" applyFont="1" applyFill="1" applyBorder="1" applyAlignment="1" applyProtection="1">
      <alignment vertical="center"/>
    </xf>
    <xf numFmtId="0" fontId="75" fillId="14" borderId="0" xfId="0" applyFont="1" applyFill="1" applyBorder="1" applyAlignment="1" applyProtection="1">
      <alignment vertical="center"/>
    </xf>
    <xf numFmtId="0" fontId="25" fillId="2" borderId="0" xfId="0" applyFont="1" applyFill="1" applyBorder="1" applyProtection="1"/>
    <xf numFmtId="0" fontId="76" fillId="2" borderId="0" xfId="0" applyFont="1" applyFill="1" applyBorder="1" applyProtection="1"/>
    <xf numFmtId="0" fontId="25" fillId="2" borderId="0" xfId="0" applyFont="1" applyFill="1" applyBorder="1" applyAlignment="1" applyProtection="1"/>
    <xf numFmtId="0" fontId="77" fillId="2" borderId="0" xfId="0" applyFont="1" applyFill="1" applyProtection="1"/>
    <xf numFmtId="0" fontId="3" fillId="2" borderId="0" xfId="0" applyFont="1" applyFill="1" applyBorder="1" applyAlignment="1" applyProtection="1">
      <alignment vertical="center" wrapText="1"/>
    </xf>
    <xf numFmtId="0" fontId="33" fillId="2" borderId="0" xfId="0" applyFont="1" applyFill="1" applyProtection="1"/>
    <xf numFmtId="0" fontId="63" fillId="2" borderId="0" xfId="0" applyFont="1" applyFill="1" applyProtection="1"/>
    <xf numFmtId="0" fontId="3" fillId="2" borderId="0" xfId="0" applyFont="1" applyFill="1" applyBorder="1" applyAlignment="1" applyProtection="1">
      <alignment vertical="top" wrapText="1"/>
    </xf>
    <xf numFmtId="0" fontId="25" fillId="2" borderId="0" xfId="0" applyFont="1" applyFill="1" applyBorder="1" applyAlignment="1" applyProtection="1">
      <alignment horizontal="left" vertical="top" wrapText="1"/>
    </xf>
    <xf numFmtId="0" fontId="27" fillId="2" borderId="0" xfId="0" applyFont="1" applyFill="1" applyBorder="1" applyAlignment="1" applyProtection="1">
      <alignment vertical="center" wrapText="1"/>
    </xf>
    <xf numFmtId="0" fontId="27" fillId="2" borderId="0" xfId="0" applyFont="1" applyFill="1" applyBorder="1" applyAlignment="1" applyProtection="1">
      <alignment horizontal="center" vertical="top" wrapText="1"/>
    </xf>
    <xf numFmtId="0" fontId="25" fillId="2" borderId="0" xfId="0" applyFont="1" applyFill="1" applyAlignment="1" applyProtection="1">
      <alignment vertical="top" wrapText="1"/>
    </xf>
    <xf numFmtId="0" fontId="27" fillId="2" borderId="0" xfId="0" applyFont="1" applyFill="1" applyBorder="1" applyAlignment="1" applyProtection="1">
      <alignment horizontal="center" vertical="center" wrapText="1"/>
    </xf>
    <xf numFmtId="0" fontId="30" fillId="2" borderId="0" xfId="0" applyFont="1" applyFill="1" applyProtection="1"/>
    <xf numFmtId="0" fontId="1" fillId="2" borderId="0" xfId="0" applyFont="1" applyFill="1" applyProtection="1"/>
    <xf numFmtId="0" fontId="3" fillId="5" borderId="0" xfId="0" applyFont="1" applyFill="1" applyBorder="1" applyAlignment="1" applyProtection="1">
      <alignment vertical="center" wrapText="1"/>
    </xf>
    <xf numFmtId="0" fontId="33" fillId="2" borderId="0" xfId="0" applyFont="1" applyFill="1" applyAlignment="1" applyProtection="1">
      <alignment vertical="center"/>
    </xf>
    <xf numFmtId="0" fontId="77" fillId="5" borderId="0" xfId="0" applyFont="1" applyFill="1" applyAlignment="1" applyProtection="1">
      <alignment vertical="center" wrapText="1"/>
    </xf>
    <xf numFmtId="0" fontId="77" fillId="5" borderId="0" xfId="0" applyFont="1" applyFill="1" applyAlignment="1" applyProtection="1">
      <alignment vertical="center"/>
    </xf>
    <xf numFmtId="0" fontId="3" fillId="2" borderId="141" xfId="0" applyFont="1" applyFill="1" applyBorder="1" applyAlignment="1" applyProtection="1">
      <alignment vertical="center"/>
    </xf>
    <xf numFmtId="0" fontId="39" fillId="2" borderId="142" xfId="3" applyFill="1" applyBorder="1" applyAlignment="1" applyProtection="1">
      <alignment horizontal="center" vertical="center"/>
    </xf>
    <xf numFmtId="0" fontId="0" fillId="2" borderId="141" xfId="0" applyFill="1" applyBorder="1" applyProtection="1"/>
    <xf numFmtId="0" fontId="0" fillId="2" borderId="142" xfId="0" applyFill="1" applyBorder="1" applyProtection="1"/>
    <xf numFmtId="0" fontId="0" fillId="2" borderId="143" xfId="0" applyFill="1" applyBorder="1" applyProtection="1"/>
    <xf numFmtId="0" fontId="0" fillId="2" borderId="144" xfId="0" applyFill="1" applyBorder="1" applyProtection="1"/>
    <xf numFmtId="0" fontId="0" fillId="2" borderId="145" xfId="0" applyFill="1" applyBorder="1" applyProtection="1"/>
    <xf numFmtId="0" fontId="45" fillId="4" borderId="146" xfId="2" applyNumberFormat="1" applyFont="1" applyFill="1" applyBorder="1" applyAlignment="1" applyProtection="1">
      <alignment horizontal="center" vertical="center"/>
    </xf>
    <xf numFmtId="0" fontId="35" fillId="4" borderId="147" xfId="2" applyNumberFormat="1" applyFont="1" applyFill="1" applyBorder="1" applyAlignment="1" applyProtection="1">
      <alignment horizontal="center"/>
    </xf>
    <xf numFmtId="0" fontId="35" fillId="4" borderId="148" xfId="2" applyNumberFormat="1" applyFont="1" applyFill="1" applyBorder="1" applyAlignment="1" applyProtection="1">
      <alignment horizontal="center"/>
    </xf>
    <xf numFmtId="0" fontId="35" fillId="4" borderId="149" xfId="2" applyNumberFormat="1" applyFont="1" applyFill="1" applyBorder="1" applyAlignment="1" applyProtection="1">
      <alignment horizontal="center"/>
    </xf>
    <xf numFmtId="168" fontId="8" fillId="5" borderId="0" xfId="2" applyNumberFormat="1" applyFont="1" applyFill="1" applyBorder="1" applyAlignment="1" applyProtection="1"/>
    <xf numFmtId="164" fontId="46" fillId="5" borderId="0" xfId="2" applyNumberFormat="1" applyFont="1" applyFill="1" applyBorder="1" applyAlignment="1" applyProtection="1"/>
    <xf numFmtId="167" fontId="31" fillId="11" borderId="150" xfId="2" applyNumberFormat="1" applyFont="1" applyFill="1" applyBorder="1" applyAlignment="1" applyProtection="1">
      <alignment horizontal="right"/>
    </xf>
    <xf numFmtId="167" fontId="31" fillId="11" borderId="153" xfId="2" applyNumberFormat="1" applyFont="1" applyFill="1" applyBorder="1" applyAlignment="1" applyProtection="1">
      <alignment horizontal="right"/>
    </xf>
    <xf numFmtId="167" fontId="69" fillId="12" borderId="155" xfId="2" applyNumberFormat="1" applyFont="1" applyFill="1" applyBorder="1" applyAlignment="1" applyProtection="1">
      <alignment horizontal="right"/>
    </xf>
    <xf numFmtId="168" fontId="69" fillId="12" borderId="158" xfId="2" applyNumberFormat="1" applyFont="1" applyFill="1" applyBorder="1" applyAlignment="1" applyProtection="1"/>
    <xf numFmtId="165" fontId="0" fillId="12" borderId="161" xfId="2" applyFont="1" applyFill="1" applyBorder="1" applyAlignment="1" applyProtection="1">
      <alignment horizontal="center" vertical="center"/>
    </xf>
    <xf numFmtId="167" fontId="69" fillId="12" borderId="162" xfId="2" applyNumberFormat="1" applyFont="1" applyFill="1" applyBorder="1" applyAlignment="1" applyProtection="1">
      <alignment horizontal="right"/>
    </xf>
    <xf numFmtId="168" fontId="31" fillId="11" borderId="166" xfId="2" applyNumberFormat="1" applyFont="1" applyFill="1" applyBorder="1" applyAlignment="1" applyProtection="1"/>
    <xf numFmtId="49" fontId="66" fillId="2" borderId="173" xfId="1" applyNumberFormat="1" applyFont="1" applyFill="1" applyBorder="1" applyAlignment="1" applyProtection="1">
      <alignment horizontal="center" vertical="center"/>
    </xf>
    <xf numFmtId="0" fontId="66" fillId="2" borderId="174" xfId="1" applyNumberFormat="1" applyFont="1" applyFill="1" applyBorder="1" applyAlignment="1" applyProtection="1">
      <alignment horizontal="center" vertical="center"/>
    </xf>
    <xf numFmtId="0" fontId="77" fillId="2" borderId="0" xfId="0" applyFont="1" applyFill="1" applyBorder="1" applyAlignment="1" applyProtection="1">
      <alignment vertical="top" wrapText="1"/>
    </xf>
    <xf numFmtId="0" fontId="80" fillId="2" borderId="0" xfId="0" applyFont="1" applyFill="1" applyBorder="1" applyAlignment="1" applyProtection="1">
      <alignment vertical="center" wrapText="1"/>
    </xf>
    <xf numFmtId="0" fontId="87" fillId="2" borderId="0" xfId="0" applyFont="1" applyFill="1" applyBorder="1" applyAlignment="1" applyProtection="1">
      <alignment vertical="center" wrapText="1"/>
    </xf>
    <xf numFmtId="0" fontId="89" fillId="2" borderId="0" xfId="0" applyFont="1" applyFill="1" applyBorder="1" applyAlignment="1" applyProtection="1">
      <alignment wrapText="1"/>
    </xf>
    <xf numFmtId="0" fontId="25" fillId="2" borderId="11" xfId="0" applyFont="1" applyFill="1" applyBorder="1" applyProtection="1"/>
    <xf numFmtId="0" fontId="80" fillId="2" borderId="11" xfId="0" applyFont="1" applyFill="1" applyBorder="1" applyAlignment="1" applyProtection="1">
      <alignment vertical="center" wrapText="1"/>
    </xf>
    <xf numFmtId="0" fontId="25" fillId="2" borderId="9" xfId="0" applyFont="1" applyFill="1" applyBorder="1" applyProtection="1"/>
    <xf numFmtId="0" fontId="80" fillId="2" borderId="10" xfId="0" applyFont="1" applyFill="1" applyBorder="1" applyAlignment="1" applyProtection="1">
      <alignment vertical="center" wrapText="1"/>
    </xf>
    <xf numFmtId="0" fontId="25" fillId="2" borderId="12" xfId="0" applyFont="1" applyFill="1" applyBorder="1" applyProtection="1"/>
    <xf numFmtId="0" fontId="39" fillId="2" borderId="0" xfId="3" applyFill="1" applyBorder="1" applyAlignment="1" applyProtection="1">
      <alignment horizontal="left" vertical="center"/>
    </xf>
    <xf numFmtId="0" fontId="81" fillId="5" borderId="0" xfId="0" applyFont="1" applyFill="1" applyBorder="1" applyAlignment="1" applyProtection="1">
      <alignment horizontal="center" vertical="center"/>
    </xf>
    <xf numFmtId="0" fontId="57" fillId="2" borderId="125" xfId="0" applyFont="1" applyFill="1" applyBorder="1" applyAlignment="1" applyProtection="1">
      <alignment horizontal="center" vertical="center"/>
    </xf>
    <xf numFmtId="0" fontId="57" fillId="2" borderId="126" xfId="0" applyFont="1" applyFill="1" applyBorder="1" applyAlignment="1" applyProtection="1">
      <alignment horizontal="center" vertical="center"/>
    </xf>
    <xf numFmtId="0" fontId="57" fillId="2" borderId="127" xfId="0" applyFont="1" applyFill="1" applyBorder="1" applyAlignment="1" applyProtection="1">
      <alignment horizontal="center" vertical="center"/>
    </xf>
    <xf numFmtId="0" fontId="57" fillId="2" borderId="128" xfId="0" applyFont="1" applyFill="1" applyBorder="1" applyAlignment="1" applyProtection="1">
      <alignment horizontal="center" vertical="center"/>
    </xf>
    <xf numFmtId="0" fontId="57" fillId="2" borderId="0" xfId="0" applyFont="1" applyFill="1" applyBorder="1" applyAlignment="1" applyProtection="1">
      <alignment horizontal="center" vertical="center"/>
    </xf>
    <xf numFmtId="0" fontId="57" fillId="2" borderId="129" xfId="0" applyFont="1" applyFill="1" applyBorder="1" applyAlignment="1" applyProtection="1">
      <alignment horizontal="center" vertical="center"/>
    </xf>
    <xf numFmtId="0" fontId="57" fillId="2" borderId="130" xfId="0" applyFont="1" applyFill="1" applyBorder="1" applyAlignment="1" applyProtection="1">
      <alignment horizontal="center" vertical="center"/>
    </xf>
    <xf numFmtId="0" fontId="57" fillId="2" borderId="131" xfId="0" applyFont="1" applyFill="1" applyBorder="1" applyAlignment="1" applyProtection="1">
      <alignment horizontal="center" vertical="center"/>
    </xf>
    <xf numFmtId="0" fontId="57" fillId="2" borderId="132" xfId="0" applyFont="1" applyFill="1" applyBorder="1" applyAlignment="1" applyProtection="1">
      <alignment horizontal="center" vertical="center"/>
    </xf>
    <xf numFmtId="165" fontId="3" fillId="11" borderId="44" xfId="2" applyFont="1" applyFill="1" applyBorder="1" applyAlignment="1" applyProtection="1">
      <alignment horizontal="center" vertical="center"/>
    </xf>
    <xf numFmtId="165" fontId="3" fillId="11" borderId="45" xfId="2" applyFont="1" applyFill="1" applyBorder="1" applyAlignment="1" applyProtection="1">
      <alignment horizontal="center" vertical="center"/>
    </xf>
    <xf numFmtId="0" fontId="68" fillId="9" borderId="0" xfId="3" applyFont="1" applyFill="1" applyBorder="1" applyAlignment="1" applyProtection="1">
      <alignment horizontal="center" vertical="center"/>
    </xf>
    <xf numFmtId="0" fontId="68" fillId="9" borderId="0" xfId="1" applyFont="1" applyFill="1" applyBorder="1" applyAlignment="1" applyProtection="1">
      <alignment horizontal="center" vertical="center"/>
    </xf>
    <xf numFmtId="168" fontId="67" fillId="11" borderId="44" xfId="2" applyNumberFormat="1" applyFont="1" applyFill="1" applyBorder="1" applyAlignment="1" applyProtection="1"/>
    <xf numFmtId="168" fontId="67" fillId="11" borderId="110" xfId="2" applyNumberFormat="1" applyFont="1" applyFill="1" applyBorder="1" applyAlignment="1" applyProtection="1"/>
    <xf numFmtId="168" fontId="67" fillId="11" borderId="45" xfId="2" applyNumberFormat="1" applyFont="1" applyFill="1" applyBorder="1" applyAlignment="1" applyProtection="1"/>
    <xf numFmtId="168" fontId="31" fillId="11" borderId="2" xfId="1" applyNumberFormat="1" applyFont="1" applyFill="1" applyBorder="1" applyAlignment="1" applyProtection="1"/>
    <xf numFmtId="168" fontId="31" fillId="11" borderId="34" xfId="1" applyNumberFormat="1" applyFont="1" applyFill="1" applyBorder="1" applyAlignment="1" applyProtection="1"/>
    <xf numFmtId="168" fontId="69" fillId="2" borderId="0" xfId="0" applyNumberFormat="1" applyFont="1" applyFill="1" applyBorder="1" applyProtection="1"/>
    <xf numFmtId="10" fontId="48" fillId="6" borderId="23" xfId="1" applyNumberFormat="1" applyFont="1" applyFill="1" applyBorder="1" applyAlignment="1" applyProtection="1">
      <alignment horizontal="right"/>
    </xf>
    <xf numFmtId="10" fontId="48" fillId="6" borderId="82" xfId="1" applyNumberFormat="1" applyFont="1" applyFill="1" applyBorder="1" applyAlignment="1" applyProtection="1">
      <alignment horizontal="right"/>
    </xf>
    <xf numFmtId="168" fontId="6" fillId="6" borderId="23" xfId="0" applyNumberFormat="1" applyFont="1" applyFill="1" applyBorder="1" applyAlignment="1" applyProtection="1">
      <alignment horizontal="right"/>
    </xf>
    <xf numFmtId="168" fontId="6" fillId="6" borderId="82" xfId="0" applyNumberFormat="1" applyFont="1" applyFill="1" applyBorder="1" applyAlignment="1" applyProtection="1">
      <alignment horizontal="right"/>
    </xf>
    <xf numFmtId="0" fontId="68" fillId="9" borderId="0" xfId="0" applyFont="1" applyFill="1" applyBorder="1" applyAlignment="1" applyProtection="1">
      <alignment horizontal="center" vertical="center"/>
    </xf>
    <xf numFmtId="168" fontId="6" fillId="6" borderId="35" xfId="0" applyNumberFormat="1" applyFont="1" applyFill="1" applyBorder="1" applyAlignment="1" applyProtection="1">
      <alignment horizontal="right"/>
    </xf>
    <xf numFmtId="168" fontId="6" fillId="6" borderId="36" xfId="0" applyNumberFormat="1" applyFont="1" applyFill="1" applyBorder="1" applyAlignment="1" applyProtection="1">
      <alignment horizontal="right"/>
    </xf>
    <xf numFmtId="168" fontId="6" fillId="6" borderId="87" xfId="0" applyNumberFormat="1" applyFont="1" applyFill="1" applyBorder="1" applyAlignment="1" applyProtection="1">
      <alignment horizontal="right"/>
    </xf>
    <xf numFmtId="168" fontId="6" fillId="6" borderId="88" xfId="0" applyNumberFormat="1" applyFont="1" applyFill="1" applyBorder="1" applyAlignment="1" applyProtection="1">
      <alignment horizontal="right"/>
    </xf>
    <xf numFmtId="168" fontId="48" fillId="6" borderId="59" xfId="0" applyNumberFormat="1" applyFont="1" applyFill="1" applyBorder="1" applyAlignment="1" applyProtection="1">
      <alignment horizontal="right"/>
    </xf>
    <xf numFmtId="168" fontId="48" fillId="6" borderId="61" xfId="0" applyNumberFormat="1" applyFont="1" applyFill="1" applyBorder="1" applyAlignment="1" applyProtection="1">
      <alignment horizontal="right"/>
    </xf>
    <xf numFmtId="168" fontId="48" fillId="6" borderId="135" xfId="0" applyNumberFormat="1" applyFont="1" applyFill="1" applyBorder="1" applyAlignment="1" applyProtection="1">
      <alignment horizontal="right"/>
    </xf>
    <xf numFmtId="168" fontId="48" fillId="6" borderId="134" xfId="0" applyNumberFormat="1" applyFont="1" applyFill="1" applyBorder="1" applyAlignment="1" applyProtection="1">
      <alignment horizontal="right"/>
    </xf>
    <xf numFmtId="0" fontId="66" fillId="2" borderId="171" xfId="1" applyFont="1" applyFill="1" applyBorder="1" applyAlignment="1" applyProtection="1">
      <alignment horizontal="center" vertical="center"/>
    </xf>
    <xf numFmtId="0" fontId="66" fillId="2" borderId="172" xfId="1" applyFont="1" applyFill="1" applyBorder="1" applyAlignment="1" applyProtection="1">
      <alignment horizontal="center" vertical="center"/>
    </xf>
    <xf numFmtId="0" fontId="66" fillId="2" borderId="170" xfId="1" applyFont="1" applyFill="1" applyBorder="1" applyAlignment="1" applyProtection="1">
      <alignment horizontal="center" vertical="center"/>
    </xf>
    <xf numFmtId="0" fontId="13" fillId="2" borderId="20" xfId="1" applyFont="1" applyFill="1" applyBorder="1" applyAlignment="1" applyProtection="1">
      <alignment horizontal="center" vertical="center"/>
    </xf>
    <xf numFmtId="0" fontId="13" fillId="2" borderId="21" xfId="1" applyFont="1" applyFill="1" applyBorder="1" applyAlignment="1" applyProtection="1">
      <alignment horizontal="center" vertical="center"/>
    </xf>
    <xf numFmtId="168" fontId="48" fillId="6" borderId="20" xfId="1" applyNumberFormat="1" applyFont="1" applyFill="1" applyBorder="1" applyAlignment="1" applyProtection="1">
      <alignment horizontal="right"/>
    </xf>
    <xf numFmtId="168" fontId="48" fillId="6" borderId="21" xfId="1" applyNumberFormat="1" applyFont="1" applyFill="1" applyBorder="1" applyAlignment="1" applyProtection="1">
      <alignment horizontal="right"/>
    </xf>
    <xf numFmtId="0" fontId="2" fillId="2" borderId="20" xfId="1" applyFont="1" applyFill="1" applyBorder="1" applyAlignment="1" applyProtection="1">
      <alignment horizontal="center" vertical="center"/>
    </xf>
    <xf numFmtId="0" fontId="2" fillId="2" borderId="21" xfId="1" applyFont="1" applyFill="1" applyBorder="1" applyAlignment="1" applyProtection="1">
      <alignment horizontal="center" vertical="center"/>
    </xf>
    <xf numFmtId="0" fontId="48" fillId="6" borderId="20" xfId="1" applyNumberFormat="1" applyFont="1" applyFill="1" applyBorder="1" applyAlignment="1" applyProtection="1">
      <alignment horizontal="right"/>
    </xf>
    <xf numFmtId="0" fontId="48" fillId="6" borderId="21" xfId="1" applyNumberFormat="1" applyFont="1" applyFill="1" applyBorder="1" applyAlignment="1" applyProtection="1">
      <alignment horizontal="right"/>
    </xf>
    <xf numFmtId="0" fontId="3" fillId="11" borderId="151" xfId="0" applyNumberFormat="1" applyFont="1" applyFill="1" applyBorder="1" applyAlignment="1" applyProtection="1"/>
    <xf numFmtId="0" fontId="3" fillId="11" borderId="34" xfId="0" applyNumberFormat="1" applyFont="1" applyFill="1" applyBorder="1" applyAlignment="1" applyProtection="1"/>
    <xf numFmtId="49" fontId="66" fillId="2" borderId="171" xfId="1" applyNumberFormat="1" applyFont="1" applyFill="1" applyBorder="1" applyAlignment="1" applyProtection="1">
      <alignment horizontal="center" vertical="center"/>
    </xf>
    <xf numFmtId="49" fontId="66" fillId="2" borderId="170" xfId="1" applyNumberFormat="1" applyFont="1" applyFill="1" applyBorder="1" applyAlignment="1" applyProtection="1">
      <alignment horizontal="center" vertical="center"/>
    </xf>
    <xf numFmtId="0" fontId="13" fillId="2" borderId="118" xfId="0" applyFont="1" applyFill="1" applyBorder="1" applyAlignment="1" applyProtection="1">
      <alignment horizontal="center" vertical="center"/>
    </xf>
    <xf numFmtId="0" fontId="3" fillId="2" borderId="20" xfId="0" applyFont="1" applyFill="1" applyBorder="1" applyAlignment="1" applyProtection="1">
      <alignment horizontal="center" vertical="center"/>
    </xf>
    <xf numFmtId="0" fontId="3" fillId="2" borderId="21" xfId="0" applyFont="1" applyFill="1" applyBorder="1" applyAlignment="1" applyProtection="1">
      <alignment horizontal="center" vertical="center"/>
    </xf>
    <xf numFmtId="0" fontId="3" fillId="2" borderId="22" xfId="0"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3" fillId="2" borderId="23" xfId="0" applyFont="1" applyFill="1" applyBorder="1" applyAlignment="1" applyProtection="1">
      <alignment horizontal="center" vertical="center"/>
    </xf>
    <xf numFmtId="0" fontId="3" fillId="2" borderId="82" xfId="0" applyFont="1" applyFill="1" applyBorder="1" applyAlignment="1" applyProtection="1">
      <alignment horizontal="center" vertical="center"/>
    </xf>
    <xf numFmtId="165" fontId="6" fillId="6" borderId="20" xfId="0" applyNumberFormat="1" applyFont="1" applyFill="1" applyBorder="1" applyAlignment="1" applyProtection="1">
      <alignment horizontal="right"/>
    </xf>
    <xf numFmtId="165" fontId="6" fillId="6" borderId="21" xfId="0" applyNumberFormat="1" applyFont="1" applyFill="1" applyBorder="1" applyAlignment="1" applyProtection="1">
      <alignment horizontal="right"/>
    </xf>
    <xf numFmtId="168" fontId="7" fillId="6" borderId="59" xfId="0" applyNumberFormat="1" applyFont="1" applyFill="1" applyBorder="1" applyAlignment="1" applyProtection="1">
      <alignment horizontal="right"/>
    </xf>
    <xf numFmtId="168" fontId="7" fillId="6" borderId="61" xfId="0" applyNumberFormat="1" applyFont="1" applyFill="1" applyBorder="1" applyAlignment="1" applyProtection="1">
      <alignment horizontal="right"/>
    </xf>
    <xf numFmtId="168" fontId="7" fillId="6" borderId="135" xfId="0" applyNumberFormat="1" applyFont="1" applyFill="1" applyBorder="1" applyAlignment="1" applyProtection="1">
      <alignment horizontal="right"/>
    </xf>
    <xf numFmtId="168" fontId="7" fillId="6" borderId="134" xfId="0" applyNumberFormat="1" applyFont="1" applyFill="1" applyBorder="1" applyAlignment="1" applyProtection="1">
      <alignment horizontal="right"/>
    </xf>
    <xf numFmtId="0" fontId="7" fillId="6" borderId="103" xfId="0" applyFont="1" applyFill="1" applyBorder="1" applyAlignment="1" applyProtection="1">
      <alignment horizontal="right"/>
    </xf>
    <xf numFmtId="0" fontId="7" fillId="6" borderId="99" xfId="0" applyFont="1" applyFill="1" applyBorder="1" applyAlignment="1" applyProtection="1">
      <alignment horizontal="right"/>
    </xf>
    <xf numFmtId="168" fontId="6" fillId="6" borderId="102" xfId="0" applyNumberFormat="1" applyFont="1" applyFill="1" applyBorder="1" applyAlignment="1" applyProtection="1">
      <alignment horizontal="right"/>
    </xf>
    <xf numFmtId="168" fontId="6" fillId="6" borderId="98" xfId="0" applyNumberFormat="1" applyFont="1" applyFill="1" applyBorder="1" applyAlignment="1" applyProtection="1">
      <alignment horizontal="right"/>
    </xf>
    <xf numFmtId="10" fontId="7" fillId="6" borderId="104" xfId="0" applyNumberFormat="1" applyFont="1" applyFill="1" applyBorder="1" applyAlignment="1" applyProtection="1">
      <alignment horizontal="right"/>
    </xf>
    <xf numFmtId="10" fontId="7" fillId="6" borderId="100" xfId="0" applyNumberFormat="1" applyFont="1" applyFill="1" applyBorder="1" applyAlignment="1" applyProtection="1">
      <alignment horizontal="right"/>
    </xf>
    <xf numFmtId="168" fontId="7" fillId="6" borderId="103" xfId="0" applyNumberFormat="1" applyFont="1" applyFill="1" applyBorder="1" applyAlignment="1" applyProtection="1">
      <alignment horizontal="right"/>
    </xf>
    <xf numFmtId="168" fontId="7" fillId="6" borderId="99" xfId="0" applyNumberFormat="1" applyFont="1" applyFill="1" applyBorder="1" applyAlignment="1" applyProtection="1">
      <alignment horizontal="right"/>
    </xf>
    <xf numFmtId="10" fontId="6" fillId="6" borderId="104" xfId="0" applyNumberFormat="1" applyFont="1" applyFill="1" applyBorder="1" applyAlignment="1" applyProtection="1">
      <alignment horizontal="right"/>
    </xf>
    <xf numFmtId="10" fontId="6" fillId="6" borderId="100" xfId="0" applyNumberFormat="1" applyFont="1" applyFill="1" applyBorder="1" applyAlignment="1" applyProtection="1">
      <alignment horizontal="right"/>
    </xf>
    <xf numFmtId="164" fontId="6" fillId="6" borderId="97" xfId="0" applyNumberFormat="1" applyFont="1" applyFill="1" applyBorder="1" applyAlignment="1" applyProtection="1">
      <alignment horizontal="right"/>
    </xf>
    <xf numFmtId="164" fontId="6" fillId="6" borderId="101" xfId="0" applyNumberFormat="1" applyFont="1" applyFill="1" applyBorder="1" applyAlignment="1" applyProtection="1">
      <alignment horizontal="right"/>
    </xf>
    <xf numFmtId="10" fontId="49" fillId="8" borderId="105" xfId="0" applyNumberFormat="1" applyFont="1" applyFill="1" applyBorder="1" applyAlignment="1" applyProtection="1">
      <alignment horizontal="right"/>
    </xf>
    <xf numFmtId="10" fontId="49" fillId="8" borderId="106" xfId="0" applyNumberFormat="1" applyFont="1" applyFill="1" applyBorder="1" applyAlignment="1" applyProtection="1">
      <alignment horizontal="right"/>
    </xf>
    <xf numFmtId="10" fontId="7" fillId="2" borderId="73" xfId="0" applyNumberFormat="1" applyFont="1" applyFill="1" applyBorder="1" applyAlignment="1" applyProtection="1">
      <alignment horizontal="right"/>
    </xf>
    <xf numFmtId="10" fontId="7" fillId="2" borderId="74" xfId="0" applyNumberFormat="1" applyFont="1" applyFill="1" applyBorder="1" applyAlignment="1" applyProtection="1">
      <alignment horizontal="right"/>
    </xf>
    <xf numFmtId="168" fontId="7" fillId="6" borderId="104" xfId="0" applyNumberFormat="1" applyFont="1" applyFill="1" applyBorder="1" applyAlignment="1" applyProtection="1">
      <alignment horizontal="right"/>
    </xf>
    <xf numFmtId="168" fontId="7" fillId="6" borderId="100" xfId="0" applyNumberFormat="1" applyFont="1" applyFill="1" applyBorder="1" applyAlignment="1" applyProtection="1">
      <alignment horizontal="right"/>
    </xf>
    <xf numFmtId="0" fontId="3" fillId="2" borderId="76" xfId="1" applyFont="1" applyFill="1" applyBorder="1" applyAlignment="1" applyProtection="1">
      <alignment horizontal="center" vertical="center"/>
    </xf>
    <xf numFmtId="0" fontId="3" fillId="2" borderId="96" xfId="1" applyFont="1" applyFill="1" applyBorder="1" applyAlignment="1" applyProtection="1">
      <alignment horizontal="center" vertical="center"/>
    </xf>
    <xf numFmtId="10" fontId="6" fillId="6" borderId="23" xfId="0" applyNumberFormat="1" applyFont="1" applyFill="1" applyBorder="1" applyAlignment="1" applyProtection="1">
      <alignment horizontal="right"/>
    </xf>
    <xf numFmtId="10" fontId="6" fillId="6" borderId="82" xfId="0" applyNumberFormat="1" applyFont="1" applyFill="1" applyBorder="1" applyAlignment="1" applyProtection="1">
      <alignment horizontal="right"/>
    </xf>
    <xf numFmtId="168" fontId="6" fillId="6" borderId="20" xfId="0" applyNumberFormat="1" applyFont="1" applyFill="1" applyBorder="1" applyAlignment="1" applyProtection="1">
      <alignment horizontal="right"/>
    </xf>
    <xf numFmtId="168" fontId="6" fillId="6" borderId="21" xfId="0" applyNumberFormat="1" applyFont="1" applyFill="1" applyBorder="1" applyAlignment="1" applyProtection="1">
      <alignment horizontal="right"/>
    </xf>
    <xf numFmtId="168" fontId="6" fillId="6" borderId="22" xfId="0" applyNumberFormat="1" applyFont="1" applyFill="1" applyBorder="1" applyAlignment="1" applyProtection="1">
      <alignment horizontal="right"/>
    </xf>
    <xf numFmtId="168" fontId="6" fillId="6" borderId="1" xfId="0" applyNumberFormat="1" applyFont="1" applyFill="1" applyBorder="1" applyAlignment="1" applyProtection="1">
      <alignment horizontal="right"/>
    </xf>
    <xf numFmtId="164" fontId="7" fillId="2" borderId="73" xfId="0" applyNumberFormat="1" applyFont="1" applyFill="1" applyBorder="1" applyAlignment="1" applyProtection="1">
      <alignment horizontal="right"/>
    </xf>
    <xf numFmtId="164" fontId="7" fillId="2" borderId="74" xfId="0" applyNumberFormat="1" applyFont="1" applyFill="1" applyBorder="1" applyAlignment="1" applyProtection="1">
      <alignment horizontal="right"/>
    </xf>
    <xf numFmtId="10" fontId="49" fillId="8" borderId="73" xfId="0" applyNumberFormat="1" applyFont="1" applyFill="1" applyBorder="1" applyAlignment="1" applyProtection="1">
      <alignment horizontal="right"/>
    </xf>
    <xf numFmtId="10" fontId="49" fillId="8" borderId="74" xfId="0" applyNumberFormat="1" applyFont="1" applyFill="1" applyBorder="1" applyAlignment="1" applyProtection="1">
      <alignment horizontal="right"/>
    </xf>
    <xf numFmtId="0" fontId="13" fillId="2" borderId="23" xfId="1" applyFont="1" applyFill="1" applyBorder="1" applyAlignment="1" applyProtection="1">
      <alignment horizontal="center" vertical="center"/>
    </xf>
    <xf numFmtId="0" fontId="13" fillId="2" borderId="82" xfId="1" applyFont="1" applyFill="1" applyBorder="1" applyAlignment="1" applyProtection="1">
      <alignment horizontal="center" vertical="center"/>
    </xf>
    <xf numFmtId="3" fontId="48" fillId="6" borderId="103" xfId="0" applyNumberFormat="1" applyFont="1" applyFill="1" applyBorder="1" applyAlignment="1" applyProtection="1">
      <alignment horizontal="right"/>
    </xf>
    <xf numFmtId="3" fontId="48" fillId="6" borderId="99" xfId="0" applyNumberFormat="1" applyFont="1" applyFill="1" applyBorder="1" applyAlignment="1" applyProtection="1">
      <alignment horizontal="right"/>
    </xf>
    <xf numFmtId="168" fontId="48" fillId="6" borderId="102" xfId="0" applyNumberFormat="1" applyFont="1" applyFill="1" applyBorder="1" applyAlignment="1" applyProtection="1">
      <alignment horizontal="right"/>
    </xf>
    <xf numFmtId="168" fontId="48" fillId="6" borderId="98" xfId="0" applyNumberFormat="1" applyFont="1" applyFill="1" applyBorder="1" applyAlignment="1" applyProtection="1">
      <alignment horizontal="right"/>
    </xf>
    <xf numFmtId="10" fontId="48" fillId="6" borderId="104" xfId="0" applyNumberFormat="1" applyFont="1" applyFill="1" applyBorder="1" applyAlignment="1" applyProtection="1">
      <alignment horizontal="right"/>
    </xf>
    <xf numFmtId="10" fontId="48" fillId="6" borderId="100" xfId="0" applyNumberFormat="1" applyFont="1" applyFill="1" applyBorder="1" applyAlignment="1" applyProtection="1">
      <alignment horizontal="right"/>
    </xf>
    <xf numFmtId="168" fontId="48" fillId="6" borderId="103" xfId="0" applyNumberFormat="1" applyFont="1" applyFill="1" applyBorder="1" applyAlignment="1" applyProtection="1">
      <alignment horizontal="right"/>
    </xf>
    <xf numFmtId="168" fontId="48" fillId="6" borderId="99" xfId="0" applyNumberFormat="1" applyFont="1" applyFill="1" applyBorder="1" applyAlignment="1" applyProtection="1">
      <alignment horizontal="right"/>
    </xf>
    <xf numFmtId="10" fontId="47" fillId="6" borderId="104" xfId="1" applyNumberFormat="1" applyFont="1" applyFill="1" applyBorder="1" applyAlignment="1" applyProtection="1">
      <alignment horizontal="right"/>
    </xf>
    <xf numFmtId="10" fontId="47" fillId="6" borderId="100" xfId="1" applyNumberFormat="1" applyFont="1" applyFill="1" applyBorder="1" applyAlignment="1" applyProtection="1">
      <alignment horizontal="right"/>
    </xf>
    <xf numFmtId="168" fontId="48" fillId="6" borderId="104" xfId="0" applyNumberFormat="1" applyFont="1" applyFill="1" applyBorder="1" applyAlignment="1" applyProtection="1">
      <alignment horizontal="right"/>
    </xf>
    <xf numFmtId="168" fontId="48" fillId="6" borderId="100" xfId="0" applyNumberFormat="1" applyFont="1" applyFill="1" applyBorder="1" applyAlignment="1" applyProtection="1">
      <alignment horizontal="right"/>
    </xf>
    <xf numFmtId="164" fontId="48" fillId="6" borderId="97" xfId="1" applyNumberFormat="1" applyFont="1" applyFill="1" applyBorder="1" applyAlignment="1" applyProtection="1">
      <alignment horizontal="right"/>
    </xf>
    <xf numFmtId="164" fontId="48" fillId="6" borderId="101" xfId="1" applyNumberFormat="1" applyFont="1" applyFill="1" applyBorder="1" applyAlignment="1" applyProtection="1">
      <alignment horizontal="right"/>
    </xf>
    <xf numFmtId="164" fontId="6" fillId="2" borderId="73" xfId="0" applyNumberFormat="1" applyFont="1" applyFill="1" applyBorder="1" applyAlignment="1" applyProtection="1">
      <alignment horizontal="right"/>
    </xf>
    <xf numFmtId="164" fontId="6" fillId="2" borderId="74" xfId="0" applyNumberFormat="1" applyFont="1" applyFill="1" applyBorder="1" applyAlignment="1" applyProtection="1">
      <alignment horizontal="right"/>
    </xf>
    <xf numFmtId="0" fontId="2" fillId="2" borderId="76" xfId="1" applyFont="1" applyFill="1" applyBorder="1" applyAlignment="1" applyProtection="1">
      <alignment horizontal="center" vertical="center"/>
    </xf>
    <xf numFmtId="0" fontId="2" fillId="2" borderId="96" xfId="1" applyFont="1" applyFill="1" applyBorder="1" applyAlignment="1" applyProtection="1">
      <alignment horizontal="center" vertical="center"/>
    </xf>
    <xf numFmtId="0" fontId="3" fillId="2" borderId="71" xfId="1" applyFont="1" applyFill="1" applyBorder="1" applyAlignment="1" applyProtection="1">
      <alignment horizontal="center" vertical="center"/>
    </xf>
    <xf numFmtId="0" fontId="3" fillId="2" borderId="72" xfId="1" applyFont="1" applyFill="1" applyBorder="1" applyAlignment="1" applyProtection="1">
      <alignment horizontal="center" vertical="center"/>
    </xf>
    <xf numFmtId="0" fontId="2" fillId="2" borderId="71" xfId="1" applyFont="1" applyFill="1" applyBorder="1" applyAlignment="1" applyProtection="1">
      <alignment horizontal="center" vertical="center"/>
    </xf>
    <xf numFmtId="0" fontId="2" fillId="2" borderId="72" xfId="1" applyFont="1" applyFill="1" applyBorder="1" applyAlignment="1" applyProtection="1">
      <alignment horizontal="center" vertical="center"/>
    </xf>
    <xf numFmtId="0" fontId="2" fillId="2" borderId="23" xfId="1" applyFont="1" applyFill="1" applyBorder="1" applyAlignment="1" applyProtection="1">
      <alignment horizontal="center" vertical="center"/>
    </xf>
    <xf numFmtId="0" fontId="2" fillId="2" borderId="82" xfId="1" applyFont="1" applyFill="1" applyBorder="1" applyAlignment="1" applyProtection="1">
      <alignment horizontal="center" vertical="center"/>
    </xf>
    <xf numFmtId="0" fontId="13" fillId="2" borderId="22" xfId="1" applyFont="1" applyFill="1" applyBorder="1" applyAlignment="1" applyProtection="1">
      <alignment horizontal="center" vertical="center"/>
    </xf>
    <xf numFmtId="0" fontId="13" fillId="2" borderId="1" xfId="1" applyFont="1" applyFill="1" applyBorder="1" applyAlignment="1" applyProtection="1">
      <alignment horizontal="center" vertical="center"/>
    </xf>
    <xf numFmtId="164" fontId="6" fillId="6" borderId="29" xfId="0" applyNumberFormat="1" applyFont="1" applyFill="1" applyBorder="1" applyAlignment="1" applyProtection="1">
      <alignment horizontal="right"/>
    </xf>
    <xf numFmtId="164" fontId="6" fillId="6" borderId="30" xfId="0" applyNumberFormat="1" applyFont="1" applyFill="1" applyBorder="1" applyAlignment="1" applyProtection="1">
      <alignment horizontal="right"/>
    </xf>
    <xf numFmtId="168" fontId="48" fillId="6" borderId="35" xfId="0" applyNumberFormat="1" applyFont="1" applyFill="1" applyBorder="1" applyAlignment="1" applyProtection="1">
      <alignment horizontal="right"/>
    </xf>
    <xf numFmtId="168" fontId="48" fillId="6" borderId="36" xfId="0" applyNumberFormat="1" applyFont="1" applyFill="1" applyBorder="1" applyAlignment="1" applyProtection="1">
      <alignment horizontal="right"/>
    </xf>
    <xf numFmtId="168" fontId="48" fillId="6" borderId="87" xfId="0" applyNumberFormat="1" applyFont="1" applyFill="1" applyBorder="1" applyAlignment="1" applyProtection="1">
      <alignment horizontal="right"/>
    </xf>
    <xf numFmtId="168" fontId="48" fillId="6" borderId="88" xfId="0" applyNumberFormat="1" applyFont="1" applyFill="1" applyBorder="1" applyAlignment="1" applyProtection="1">
      <alignment horizontal="right"/>
    </xf>
    <xf numFmtId="0" fontId="63" fillId="2" borderId="52" xfId="1" applyFont="1" applyFill="1" applyBorder="1" applyAlignment="1" applyProtection="1">
      <alignment horizontal="center" vertical="center"/>
    </xf>
    <xf numFmtId="168" fontId="8" fillId="2" borderId="0" xfId="1" applyNumberFormat="1" applyFont="1" applyFill="1" applyBorder="1" applyAlignment="1" applyProtection="1"/>
    <xf numFmtId="168" fontId="69" fillId="12" borderId="159" xfId="1" applyNumberFormat="1" applyFont="1" applyFill="1" applyBorder="1" applyAlignment="1" applyProtection="1"/>
    <xf numFmtId="168" fontId="69" fillId="12" borderId="158" xfId="1" applyNumberFormat="1" applyFont="1" applyFill="1" applyBorder="1" applyAlignment="1" applyProtection="1"/>
    <xf numFmtId="168" fontId="67" fillId="11" borderId="108" xfId="2" applyNumberFormat="1" applyFont="1" applyFill="1" applyBorder="1" applyAlignment="1" applyProtection="1"/>
    <xf numFmtId="168" fontId="67" fillId="11" borderId="111" xfId="2" applyNumberFormat="1" applyFont="1" applyFill="1" applyBorder="1" applyAlignment="1" applyProtection="1"/>
    <xf numFmtId="168" fontId="67" fillId="11" borderId="80" xfId="2" applyNumberFormat="1" applyFont="1" applyFill="1" applyBorder="1" applyAlignment="1" applyProtection="1"/>
    <xf numFmtId="168" fontId="69" fillId="12" borderId="159" xfId="2" applyNumberFormat="1" applyFont="1" applyFill="1" applyBorder="1" applyAlignment="1" applyProtection="1"/>
    <xf numFmtId="168" fontId="69" fillId="12" borderId="160" xfId="2" applyNumberFormat="1" applyFont="1" applyFill="1" applyBorder="1" applyAlignment="1" applyProtection="1"/>
    <xf numFmtId="168" fontId="69" fillId="12" borderId="158" xfId="2" applyNumberFormat="1" applyFont="1" applyFill="1" applyBorder="1" applyAlignment="1" applyProtection="1"/>
    <xf numFmtId="0" fontId="3" fillId="2" borderId="35" xfId="0" applyFont="1" applyFill="1" applyBorder="1" applyAlignment="1" applyProtection="1">
      <alignment horizontal="center" vertical="center"/>
    </xf>
    <xf numFmtId="0" fontId="3" fillId="2" borderId="36" xfId="0" applyFont="1" applyFill="1" applyBorder="1" applyAlignment="1" applyProtection="1">
      <alignment horizontal="center" vertical="center"/>
    </xf>
    <xf numFmtId="0" fontId="29" fillId="10" borderId="73" xfId="0" applyFont="1" applyFill="1" applyBorder="1" applyAlignment="1" applyProtection="1">
      <alignment horizontal="center" vertical="center"/>
    </xf>
    <xf numFmtId="0" fontId="29" fillId="10" borderId="74" xfId="0" applyFont="1" applyFill="1" applyBorder="1" applyAlignment="1" applyProtection="1">
      <alignment horizontal="center" vertical="center"/>
    </xf>
    <xf numFmtId="0" fontId="3" fillId="11" borderId="152" xfId="0" applyNumberFormat="1" applyFont="1" applyFill="1" applyBorder="1" applyAlignment="1" applyProtection="1"/>
    <xf numFmtId="0" fontId="3" fillId="11" borderId="47" xfId="0" applyNumberFormat="1" applyFont="1" applyFill="1" applyBorder="1" applyAlignment="1" applyProtection="1"/>
    <xf numFmtId="10" fontId="48" fillId="6" borderId="23" xfId="0" applyNumberFormat="1" applyFont="1" applyFill="1" applyBorder="1" applyAlignment="1" applyProtection="1">
      <alignment horizontal="right"/>
    </xf>
    <xf numFmtId="10" fontId="48" fillId="6" borderId="82" xfId="0" applyNumberFormat="1" applyFont="1" applyFill="1" applyBorder="1" applyAlignment="1" applyProtection="1">
      <alignment horizontal="right"/>
    </xf>
    <xf numFmtId="0" fontId="0" fillId="12" borderId="157" xfId="0" applyNumberFormat="1" applyFont="1" applyFill="1" applyBorder="1" applyAlignment="1" applyProtection="1"/>
    <xf numFmtId="0" fontId="0" fillId="12" borderId="158" xfId="0" applyNumberFormat="1" applyFont="1" applyFill="1" applyBorder="1" applyAlignment="1" applyProtection="1"/>
    <xf numFmtId="0" fontId="0" fillId="12" borderId="154" xfId="0" applyNumberFormat="1" applyFont="1" applyFill="1" applyBorder="1" applyAlignment="1" applyProtection="1"/>
    <xf numFmtId="0" fontId="0" fillId="12" borderId="30" xfId="0" applyNumberFormat="1" applyFont="1" applyFill="1" applyBorder="1" applyAlignment="1" applyProtection="1"/>
    <xf numFmtId="0" fontId="3" fillId="11" borderId="156" xfId="0" applyNumberFormat="1" applyFont="1" applyFill="1" applyBorder="1" applyAlignment="1" applyProtection="1"/>
    <xf numFmtId="0" fontId="3" fillId="11" borderId="49" xfId="0" applyNumberFormat="1" applyFont="1" applyFill="1" applyBorder="1" applyAlignment="1" applyProtection="1"/>
    <xf numFmtId="0" fontId="3" fillId="11" borderId="163" xfId="0" applyNumberFormat="1" applyFont="1" applyFill="1" applyBorder="1" applyAlignment="1" applyProtection="1"/>
    <xf numFmtId="0" fontId="3" fillId="11" borderId="164" xfId="0" applyNumberFormat="1" applyFont="1" applyFill="1" applyBorder="1" applyAlignment="1" applyProtection="1"/>
    <xf numFmtId="49" fontId="66" fillId="2" borderId="169" xfId="1" applyNumberFormat="1" applyFont="1" applyFill="1" applyBorder="1" applyAlignment="1" applyProtection="1">
      <alignment horizontal="center" vertical="center"/>
    </xf>
    <xf numFmtId="165" fontId="3" fillId="11" borderId="165" xfId="2" applyFont="1" applyFill="1" applyBorder="1" applyAlignment="1" applyProtection="1">
      <alignment vertical="center"/>
    </xf>
    <xf numFmtId="165" fontId="3" fillId="11" borderId="166" xfId="2" applyFont="1" applyFill="1" applyBorder="1" applyAlignment="1" applyProtection="1">
      <alignment vertical="center"/>
    </xf>
    <xf numFmtId="165" fontId="3" fillId="11" borderId="108" xfId="2" applyFont="1" applyFill="1" applyBorder="1" applyAlignment="1" applyProtection="1">
      <alignment horizontal="center" vertical="center"/>
    </xf>
    <xf numFmtId="165" fontId="3" fillId="11" borderId="80" xfId="2" applyFont="1" applyFill="1" applyBorder="1" applyAlignment="1" applyProtection="1">
      <alignment horizontal="center" vertical="center"/>
    </xf>
    <xf numFmtId="165" fontId="60" fillId="12" borderId="29" xfId="2" applyFont="1" applyFill="1" applyBorder="1" applyAlignment="1" applyProtection="1">
      <alignment horizontal="center" vertical="center"/>
    </xf>
    <xf numFmtId="165" fontId="60" fillId="12" borderId="30" xfId="2" applyFont="1" applyFill="1" applyBorder="1" applyAlignment="1" applyProtection="1">
      <alignment horizontal="center" vertical="center"/>
    </xf>
    <xf numFmtId="165" fontId="3" fillId="11" borderId="109" xfId="2" applyFont="1" applyFill="1" applyBorder="1" applyAlignment="1" applyProtection="1">
      <alignment horizontal="center" vertical="center"/>
    </xf>
    <xf numFmtId="165" fontId="3" fillId="11" borderId="81" xfId="2" applyFont="1" applyFill="1" applyBorder="1" applyAlignment="1" applyProtection="1">
      <alignment horizontal="center" vertical="center"/>
    </xf>
    <xf numFmtId="165" fontId="0" fillId="12" borderId="159" xfId="2" applyFont="1" applyFill="1" applyBorder="1" applyAlignment="1" applyProtection="1">
      <alignment horizontal="center" vertical="center"/>
    </xf>
    <xf numFmtId="165" fontId="0" fillId="12" borderId="158" xfId="2" applyFont="1" applyFill="1" applyBorder="1" applyAlignment="1" applyProtection="1">
      <alignment horizontal="center" vertical="center"/>
    </xf>
    <xf numFmtId="168" fontId="67" fillId="11" borderId="165" xfId="2" applyNumberFormat="1" applyFont="1" applyFill="1" applyBorder="1" applyAlignment="1" applyProtection="1"/>
    <xf numFmtId="168" fontId="67" fillId="11" borderId="168" xfId="2" applyNumberFormat="1" applyFont="1" applyFill="1" applyBorder="1" applyAlignment="1" applyProtection="1"/>
    <xf numFmtId="168" fontId="67" fillId="11" borderId="166" xfId="2" applyNumberFormat="1" applyFont="1" applyFill="1" applyBorder="1" applyAlignment="1" applyProtection="1"/>
    <xf numFmtId="168" fontId="69" fillId="12" borderId="29" xfId="2" applyNumberFormat="1" applyFont="1" applyFill="1" applyBorder="1" applyAlignment="1" applyProtection="1"/>
    <xf numFmtId="168" fontId="69" fillId="12" borderId="42" xfId="2" applyNumberFormat="1" applyFont="1" applyFill="1" applyBorder="1" applyAlignment="1" applyProtection="1"/>
    <xf numFmtId="168" fontId="69" fillId="12" borderId="30" xfId="2" applyNumberFormat="1" applyFont="1" applyFill="1" applyBorder="1" applyAlignment="1" applyProtection="1"/>
    <xf numFmtId="168" fontId="67" fillId="11" borderId="109" xfId="2" applyNumberFormat="1" applyFont="1" applyFill="1" applyBorder="1" applyAlignment="1" applyProtection="1"/>
    <xf numFmtId="168" fontId="67" fillId="11" borderId="112" xfId="2" applyNumberFormat="1" applyFont="1" applyFill="1" applyBorder="1" applyAlignment="1" applyProtection="1"/>
    <xf numFmtId="168" fontId="67" fillId="11" borderId="81" xfId="2" applyNumberFormat="1" applyFont="1" applyFill="1" applyBorder="1" applyAlignment="1" applyProtection="1"/>
    <xf numFmtId="168" fontId="67" fillId="12" borderId="29" xfId="2" applyNumberFormat="1" applyFont="1" applyFill="1" applyBorder="1" applyAlignment="1" applyProtection="1"/>
    <xf numFmtId="168" fontId="67" fillId="12" borderId="42" xfId="2" applyNumberFormat="1" applyFont="1" applyFill="1" applyBorder="1" applyAlignment="1" applyProtection="1"/>
    <xf numFmtId="168" fontId="67" fillId="12" borderId="30" xfId="2" applyNumberFormat="1" applyFont="1" applyFill="1" applyBorder="1" applyAlignment="1" applyProtection="1"/>
    <xf numFmtId="0" fontId="20" fillId="2" borderId="138" xfId="0" applyFont="1" applyFill="1" applyBorder="1" applyAlignment="1" applyProtection="1">
      <alignment horizontal="center"/>
    </xf>
    <xf numFmtId="0" fontId="20" fillId="2" borderId="139" xfId="0" applyFont="1" applyFill="1" applyBorder="1" applyAlignment="1" applyProtection="1">
      <alignment horizontal="center"/>
    </xf>
    <xf numFmtId="0" fontId="20" fillId="2" borderId="140" xfId="0" applyFont="1" applyFill="1" applyBorder="1" applyAlignment="1" applyProtection="1">
      <alignment horizontal="center"/>
    </xf>
    <xf numFmtId="0" fontId="21" fillId="2" borderId="141" xfId="0" applyFont="1" applyFill="1" applyBorder="1" applyAlignment="1" applyProtection="1">
      <alignment horizontal="center"/>
    </xf>
    <xf numFmtId="0" fontId="21" fillId="2" borderId="0" xfId="0" applyFont="1" applyFill="1" applyBorder="1" applyAlignment="1" applyProtection="1">
      <alignment horizontal="center"/>
    </xf>
    <xf numFmtId="0" fontId="21" fillId="2" borderId="142" xfId="0" applyFont="1" applyFill="1" applyBorder="1" applyAlignment="1" applyProtection="1">
      <alignment horizontal="center"/>
    </xf>
    <xf numFmtId="0" fontId="3" fillId="2" borderId="0" xfId="0" applyFont="1" applyFill="1" applyBorder="1" applyAlignment="1" applyProtection="1">
      <alignment horizontal="right" vertical="center"/>
    </xf>
    <xf numFmtId="0" fontId="22" fillId="2" borderId="141"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22" fillId="2" borderId="142" xfId="0" applyFont="1" applyFill="1" applyBorder="1" applyAlignment="1" applyProtection="1">
      <alignment horizontal="center" vertical="center"/>
    </xf>
    <xf numFmtId="164" fontId="48" fillId="6" borderId="29" xfId="0" applyNumberFormat="1" applyFont="1" applyFill="1" applyBorder="1" applyAlignment="1" applyProtection="1">
      <alignment horizontal="right"/>
    </xf>
    <xf numFmtId="164" fontId="48" fillId="6" borderId="30" xfId="0" applyNumberFormat="1" applyFont="1" applyFill="1" applyBorder="1" applyAlignment="1" applyProtection="1">
      <alignment horizontal="right"/>
    </xf>
    <xf numFmtId="0" fontId="2" fillId="2" borderId="29" xfId="0" applyFont="1" applyFill="1" applyBorder="1" applyAlignment="1" applyProtection="1">
      <alignment horizontal="center" vertical="center"/>
    </xf>
    <xf numFmtId="0" fontId="2" fillId="2" borderId="30" xfId="0" applyFont="1" applyFill="1" applyBorder="1" applyAlignment="1" applyProtection="1">
      <alignment horizontal="center" vertical="center"/>
    </xf>
    <xf numFmtId="0" fontId="2" fillId="2" borderId="23" xfId="0" applyFont="1" applyFill="1" applyBorder="1" applyAlignment="1" applyProtection="1">
      <alignment horizontal="center" vertical="center"/>
    </xf>
    <xf numFmtId="0" fontId="2" fillId="2" borderId="82" xfId="0" applyFont="1" applyFill="1" applyBorder="1" applyAlignment="1" applyProtection="1">
      <alignment horizontal="center" vertical="center"/>
    </xf>
    <xf numFmtId="0" fontId="3" fillId="2" borderId="29" xfId="0" applyFont="1" applyFill="1" applyBorder="1" applyAlignment="1" applyProtection="1">
      <alignment horizontal="center" vertical="center"/>
    </xf>
    <xf numFmtId="0" fontId="3" fillId="2" borderId="30" xfId="0" applyFont="1" applyFill="1" applyBorder="1" applyAlignment="1" applyProtection="1">
      <alignment horizontal="center" vertical="center"/>
    </xf>
    <xf numFmtId="0" fontId="3" fillId="2" borderId="4"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168" fontId="48" fillId="6" borderId="23" xfId="0" applyNumberFormat="1" applyFont="1" applyFill="1" applyBorder="1" applyAlignment="1" applyProtection="1">
      <alignment horizontal="right"/>
    </xf>
    <xf numFmtId="168" fontId="48" fillId="6" borderId="82" xfId="0" applyNumberFormat="1" applyFont="1" applyFill="1" applyBorder="1" applyAlignment="1" applyProtection="1">
      <alignment horizontal="right"/>
    </xf>
    <xf numFmtId="0" fontId="63" fillId="2" borderId="70" xfId="0" applyFont="1" applyFill="1" applyBorder="1" applyAlignment="1" applyProtection="1">
      <alignment horizontal="center" vertical="center"/>
    </xf>
    <xf numFmtId="0" fontId="63" fillId="2" borderId="60" xfId="0" applyFont="1" applyFill="1" applyBorder="1" applyAlignment="1" applyProtection="1">
      <alignment horizontal="center" vertical="center"/>
    </xf>
    <xf numFmtId="0" fontId="3" fillId="3" borderId="20" xfId="1" applyFont="1" applyFill="1" applyBorder="1" applyAlignment="1" applyProtection="1">
      <alignment horizontal="center" vertical="center"/>
    </xf>
    <xf numFmtId="0" fontId="3" fillId="3" borderId="21" xfId="1" applyFont="1" applyFill="1" applyBorder="1" applyAlignment="1" applyProtection="1">
      <alignment horizontal="center" vertical="center"/>
    </xf>
    <xf numFmtId="168" fontId="48" fillId="6" borderId="22" xfId="0" applyNumberFormat="1" applyFont="1" applyFill="1" applyBorder="1" applyAlignment="1" applyProtection="1">
      <alignment horizontal="right"/>
    </xf>
    <xf numFmtId="168" fontId="48" fillId="6" borderId="1" xfId="0" applyNumberFormat="1" applyFont="1" applyFill="1" applyBorder="1" applyAlignment="1" applyProtection="1">
      <alignment horizontal="right"/>
    </xf>
    <xf numFmtId="0" fontId="2" fillId="2" borderId="35" xfId="0" applyFont="1" applyFill="1" applyBorder="1" applyAlignment="1" applyProtection="1">
      <alignment horizontal="center" vertical="center" wrapText="1"/>
    </xf>
    <xf numFmtId="0" fontId="2" fillId="2" borderId="36" xfId="0" applyFont="1" applyFill="1" applyBorder="1" applyAlignment="1" applyProtection="1">
      <alignment horizontal="center" vertical="center" wrapText="1"/>
    </xf>
    <xf numFmtId="0" fontId="2" fillId="2" borderId="87" xfId="0" applyFont="1" applyFill="1" applyBorder="1" applyAlignment="1" applyProtection="1">
      <alignment horizontal="center" vertical="center" wrapText="1"/>
    </xf>
    <xf numFmtId="0" fontId="2" fillId="2" borderId="88" xfId="0" applyFont="1" applyFill="1" applyBorder="1" applyAlignment="1" applyProtection="1">
      <alignment horizontal="center" vertical="center" wrapText="1"/>
    </xf>
    <xf numFmtId="168" fontId="31" fillId="11" borderId="167" xfId="0" applyNumberFormat="1" applyFont="1" applyFill="1" applyBorder="1" applyAlignment="1" applyProtection="1">
      <alignment vertical="center"/>
    </xf>
    <xf numFmtId="168" fontId="31" fillId="11" borderId="164" xfId="0" applyNumberFormat="1" applyFont="1" applyFill="1" applyBorder="1" applyAlignment="1" applyProtection="1">
      <alignment vertical="center"/>
    </xf>
    <xf numFmtId="168" fontId="31" fillId="11" borderId="46" xfId="1" applyNumberFormat="1" applyFont="1" applyFill="1" applyBorder="1" applyAlignment="1" applyProtection="1"/>
    <xf numFmtId="168" fontId="31" fillId="11" borderId="47" xfId="1" applyNumberFormat="1" applyFont="1" applyFill="1" applyBorder="1" applyAlignment="1" applyProtection="1"/>
    <xf numFmtId="168" fontId="69" fillId="12" borderId="29" xfId="1" applyNumberFormat="1" applyFont="1" applyFill="1" applyBorder="1" applyAlignment="1" applyProtection="1"/>
    <xf numFmtId="168" fontId="69" fillId="12" borderId="30" xfId="1" applyNumberFormat="1" applyFont="1" applyFill="1" applyBorder="1" applyAlignment="1" applyProtection="1"/>
    <xf numFmtId="168" fontId="31" fillId="11" borderId="48" xfId="1" applyNumberFormat="1" applyFont="1" applyFill="1" applyBorder="1" applyAlignment="1" applyProtection="1"/>
    <xf numFmtId="168" fontId="31" fillId="11" borderId="49" xfId="1" applyNumberFormat="1" applyFont="1" applyFill="1" applyBorder="1" applyAlignment="1" applyProtection="1"/>
    <xf numFmtId="0" fontId="68" fillId="9" borderId="0" xfId="0" applyFont="1" applyFill="1" applyBorder="1" applyAlignment="1" applyProtection="1">
      <alignment horizontal="left" vertical="center"/>
    </xf>
    <xf numFmtId="0" fontId="26" fillId="10" borderId="116" xfId="0" applyFont="1" applyFill="1" applyBorder="1" applyAlignment="1" applyProtection="1">
      <alignment horizontal="center" vertical="top"/>
    </xf>
    <xf numFmtId="2" fontId="48" fillId="8" borderId="29" xfId="1" applyNumberFormat="1" applyFont="1" applyFill="1" applyBorder="1" applyAlignment="1" applyProtection="1">
      <alignment horizontal="center" vertical="center"/>
    </xf>
    <xf numFmtId="2" fontId="48" fillId="8" borderId="30" xfId="1" applyNumberFormat="1" applyFont="1" applyFill="1" applyBorder="1" applyAlignment="1" applyProtection="1">
      <alignment horizontal="center" vertical="center"/>
    </xf>
    <xf numFmtId="0" fontId="7" fillId="2" borderId="113" xfId="1" applyNumberFormat="1" applyFont="1" applyFill="1" applyBorder="1" applyAlignment="1" applyProtection="1">
      <alignment horizontal="center" vertical="center"/>
    </xf>
    <xf numFmtId="0" fontId="7" fillId="2" borderId="114" xfId="1" applyNumberFormat="1" applyFont="1" applyFill="1" applyBorder="1" applyAlignment="1" applyProtection="1">
      <alignment horizontal="center" vertical="center"/>
    </xf>
    <xf numFmtId="0" fontId="7" fillId="5" borderId="113" xfId="1" applyNumberFormat="1" applyFont="1" applyFill="1" applyBorder="1" applyAlignment="1" applyProtection="1">
      <alignment horizontal="center" vertical="center"/>
    </xf>
    <xf numFmtId="0" fontId="7" fillId="5" borderId="114" xfId="1" applyNumberFormat="1" applyFont="1" applyFill="1" applyBorder="1" applyAlignment="1" applyProtection="1">
      <alignment horizontal="center" vertical="center"/>
    </xf>
    <xf numFmtId="0" fontId="61" fillId="2" borderId="18" xfId="1" applyFont="1" applyFill="1" applyBorder="1" applyAlignment="1" applyProtection="1">
      <alignment horizontal="center" vertical="center"/>
    </xf>
    <xf numFmtId="0" fontId="3" fillId="2" borderId="8" xfId="0" applyFont="1" applyFill="1" applyBorder="1" applyAlignment="1" applyProtection="1">
      <alignment horizontal="right" vertical="center"/>
    </xf>
    <xf numFmtId="0" fontId="22" fillId="2" borderId="8" xfId="0" applyFont="1" applyFill="1" applyBorder="1" applyAlignment="1" applyProtection="1">
      <alignment horizontal="center" vertical="center"/>
    </xf>
    <xf numFmtId="0" fontId="22" fillId="2" borderId="9" xfId="0" applyFont="1" applyFill="1" applyBorder="1" applyAlignment="1" applyProtection="1">
      <alignment horizontal="center" vertical="center"/>
    </xf>
    <xf numFmtId="0" fontId="77" fillId="15" borderId="0" xfId="0" applyFont="1" applyFill="1" applyAlignment="1" applyProtection="1">
      <alignment horizontal="center" vertical="center"/>
    </xf>
    <xf numFmtId="0" fontId="84" fillId="10" borderId="5" xfId="3" applyFont="1" applyFill="1" applyBorder="1" applyAlignment="1" applyProtection="1">
      <alignment horizontal="center" vertical="center" wrapText="1"/>
    </xf>
    <xf numFmtId="0" fontId="39" fillId="10" borderId="6" xfId="3" applyFill="1" applyBorder="1" applyAlignment="1" applyProtection="1">
      <alignment horizontal="center" vertical="center" wrapText="1"/>
    </xf>
    <xf numFmtId="0" fontId="39" fillId="10" borderId="7" xfId="3" applyFill="1" applyBorder="1" applyAlignment="1" applyProtection="1">
      <alignment horizontal="center" vertical="center" wrapText="1"/>
    </xf>
    <xf numFmtId="0" fontId="39" fillId="10" borderId="8" xfId="3" applyFill="1" applyBorder="1" applyAlignment="1" applyProtection="1">
      <alignment horizontal="center" vertical="center" wrapText="1"/>
    </xf>
    <xf numFmtId="0" fontId="39" fillId="10" borderId="0" xfId="3" applyFill="1" applyBorder="1" applyAlignment="1" applyProtection="1">
      <alignment horizontal="center" vertical="center" wrapText="1"/>
    </xf>
    <xf numFmtId="0" fontId="39" fillId="10" borderId="9" xfId="3" applyFill="1" applyBorder="1" applyAlignment="1" applyProtection="1">
      <alignment horizontal="center" vertical="center" wrapText="1"/>
    </xf>
    <xf numFmtId="0" fontId="39" fillId="10" borderId="10" xfId="3" applyFill="1" applyBorder="1" applyAlignment="1" applyProtection="1">
      <alignment horizontal="center" vertical="center" wrapText="1"/>
    </xf>
    <xf numFmtId="0" fontId="39" fillId="10" borderId="11" xfId="3" applyFill="1" applyBorder="1" applyAlignment="1" applyProtection="1">
      <alignment horizontal="center" vertical="center" wrapText="1"/>
    </xf>
    <xf numFmtId="0" fontId="39" fillId="10" borderId="12" xfId="3" applyFill="1" applyBorder="1" applyAlignment="1" applyProtection="1">
      <alignment horizontal="center" vertical="center" wrapText="1"/>
    </xf>
    <xf numFmtId="0" fontId="81" fillId="10" borderId="5" xfId="0" applyFont="1" applyFill="1" applyBorder="1" applyAlignment="1" applyProtection="1">
      <alignment horizontal="center" vertical="center"/>
    </xf>
    <xf numFmtId="0" fontId="81" fillId="10" borderId="6" xfId="0" applyFont="1" applyFill="1" applyBorder="1" applyAlignment="1" applyProtection="1">
      <alignment horizontal="center" vertical="center"/>
    </xf>
    <xf numFmtId="0" fontId="81" fillId="10" borderId="7" xfId="0" applyFont="1" applyFill="1" applyBorder="1" applyAlignment="1" applyProtection="1">
      <alignment horizontal="center" vertical="center"/>
    </xf>
    <xf numFmtId="0" fontId="81" fillId="10" borderId="10" xfId="0" applyFont="1" applyFill="1" applyBorder="1" applyAlignment="1" applyProtection="1">
      <alignment horizontal="center" vertical="center"/>
    </xf>
    <xf numFmtId="0" fontId="81" fillId="10" borderId="11" xfId="0" applyFont="1" applyFill="1" applyBorder="1" applyAlignment="1" applyProtection="1">
      <alignment horizontal="center" vertical="center"/>
    </xf>
    <xf numFmtId="0" fontId="81" fillId="10" borderId="12" xfId="0" applyFont="1" applyFill="1" applyBorder="1" applyAlignment="1" applyProtection="1">
      <alignment horizontal="center" vertical="center"/>
    </xf>
    <xf numFmtId="0" fontId="80" fillId="2" borderId="8" xfId="0" applyFont="1" applyFill="1" applyBorder="1" applyAlignment="1" applyProtection="1">
      <alignment horizontal="center" vertical="top" wrapText="1"/>
    </xf>
    <xf numFmtId="0" fontId="80" fillId="2" borderId="0" xfId="0" applyFont="1" applyFill="1" applyBorder="1" applyAlignment="1" applyProtection="1">
      <alignment horizontal="center" vertical="top" wrapText="1"/>
    </xf>
    <xf numFmtId="0" fontId="80" fillId="2" borderId="9" xfId="0" applyFont="1" applyFill="1" applyBorder="1" applyAlignment="1" applyProtection="1">
      <alignment horizontal="center" vertical="top" wrapText="1"/>
    </xf>
    <xf numFmtId="0" fontId="87" fillId="2" borderId="10" xfId="0" applyFont="1" applyFill="1" applyBorder="1" applyAlignment="1" applyProtection="1">
      <alignment horizontal="center" vertical="center" wrapText="1"/>
    </xf>
    <xf numFmtId="0" fontId="87" fillId="2" borderId="11" xfId="0" applyFont="1" applyFill="1" applyBorder="1" applyAlignment="1" applyProtection="1">
      <alignment horizontal="center" vertical="center" wrapText="1"/>
    </xf>
    <xf numFmtId="0" fontId="87" fillId="2" borderId="12" xfId="0" applyFont="1" applyFill="1" applyBorder="1" applyAlignment="1" applyProtection="1">
      <alignment horizontal="center" vertical="center" wrapText="1"/>
    </xf>
    <xf numFmtId="0" fontId="75" fillId="14" borderId="0" xfId="0" applyFont="1" applyFill="1" applyBorder="1" applyAlignment="1" applyProtection="1">
      <alignment horizontal="center" vertical="center"/>
    </xf>
    <xf numFmtId="0" fontId="88" fillId="2" borderId="5" xfId="0" applyFont="1" applyFill="1" applyBorder="1" applyAlignment="1" applyProtection="1">
      <alignment horizontal="center" vertical="center" wrapText="1"/>
    </xf>
    <xf numFmtId="0" fontId="88" fillId="2" borderId="6" xfId="0" applyFont="1" applyFill="1" applyBorder="1" applyAlignment="1" applyProtection="1">
      <alignment horizontal="center" vertical="center" wrapText="1"/>
    </xf>
    <xf numFmtId="0" fontId="88" fillId="2" borderId="7" xfId="0"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7" fillId="2" borderId="0" xfId="0" applyFont="1" applyFill="1" applyBorder="1" applyAlignment="1" applyProtection="1">
      <alignment horizontal="center" vertical="center" wrapText="1"/>
    </xf>
    <xf numFmtId="0" fontId="77" fillId="2" borderId="9" xfId="0"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21" fillId="2" borderId="8"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0" fontId="21" fillId="2" borderId="8" xfId="0" applyFont="1" applyFill="1" applyBorder="1" applyAlignment="1" applyProtection="1">
      <alignment horizontal="center"/>
    </xf>
    <xf numFmtId="0" fontId="21" fillId="2" borderId="9" xfId="0" applyFont="1" applyFill="1" applyBorder="1" applyAlignment="1" applyProtection="1">
      <alignment horizontal="center"/>
    </xf>
    <xf numFmtId="0" fontId="87" fillId="10" borderId="136" xfId="0" applyFont="1" applyFill="1" applyBorder="1" applyAlignment="1" applyProtection="1">
      <alignment horizontal="center" vertical="center"/>
    </xf>
    <xf numFmtId="0" fontId="87" fillId="10" borderId="25" xfId="0" applyFont="1" applyFill="1" applyBorder="1" applyAlignment="1" applyProtection="1">
      <alignment horizontal="center" vertical="center"/>
    </xf>
    <xf numFmtId="0" fontId="87" fillId="10" borderId="137" xfId="0" applyFont="1" applyFill="1" applyBorder="1" applyAlignment="1" applyProtection="1">
      <alignment horizontal="center" vertical="center"/>
    </xf>
    <xf numFmtId="0" fontId="31" fillId="2" borderId="5" xfId="0" applyFont="1" applyFill="1" applyBorder="1" applyAlignment="1" applyProtection="1">
      <alignment horizontal="center" vertical="center" wrapText="1"/>
    </xf>
    <xf numFmtId="0" fontId="31" fillId="2" borderId="6"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20" fillId="2" borderId="5" xfId="0" applyFont="1" applyFill="1" applyBorder="1" applyAlignment="1" applyProtection="1">
      <alignment horizontal="center"/>
    </xf>
    <xf numFmtId="0" fontId="20" fillId="2" borderId="6" xfId="0" applyFont="1" applyFill="1" applyBorder="1" applyAlignment="1" applyProtection="1">
      <alignment horizontal="center"/>
    </xf>
    <xf numFmtId="0" fontId="20" fillId="2" borderId="7" xfId="0" applyFont="1" applyFill="1" applyBorder="1" applyAlignment="1" applyProtection="1">
      <alignment horizontal="center"/>
    </xf>
  </cellXfs>
  <cellStyles count="4">
    <cellStyle name="Comma [0] 2" xfId="2"/>
    <cellStyle name="Hyperlink" xfId="3" builtinId="8"/>
    <cellStyle name="Normal" xfId="0" builtinId="0"/>
    <cellStyle name="Normal 2" xfId="1"/>
  </cellStyles>
  <dxfs count="53">
    <dxf>
      <font>
        <b val="0"/>
        <i val="0"/>
        <color rgb="FFC00000"/>
      </font>
    </dxf>
    <dxf>
      <font>
        <b val="0"/>
        <i val="0"/>
        <color rgb="FFC00000"/>
      </font>
    </dxf>
    <dxf>
      <font>
        <b val="0"/>
        <i val="0"/>
        <color rgb="FFC00000"/>
      </font>
    </dxf>
    <dxf>
      <font>
        <b val="0"/>
        <i val="0"/>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b val="0"/>
        <i val="0"/>
        <color rgb="FFC00000"/>
      </font>
    </dxf>
    <dxf>
      <font>
        <color rgb="FFC00000"/>
      </font>
    </dxf>
    <dxf>
      <font>
        <color rgb="FFC00000"/>
      </font>
    </dxf>
    <dxf>
      <font>
        <b val="0"/>
        <i val="0"/>
        <color rgb="FFC00000"/>
      </font>
    </dxf>
    <dxf>
      <font>
        <color rgb="FFC00000"/>
      </font>
    </dxf>
    <dxf>
      <font>
        <color rgb="FFC00000"/>
      </font>
    </dxf>
    <dxf>
      <font>
        <b val="0"/>
        <i val="0"/>
        <color rgb="FFC00000"/>
      </font>
    </dxf>
    <dxf>
      <font>
        <b val="0"/>
        <i val="0"/>
        <color rgb="FFC00000"/>
      </font>
    </dxf>
    <dxf>
      <font>
        <color rgb="FFC00000"/>
      </font>
    </dxf>
    <dxf>
      <font>
        <color rgb="FFC00000"/>
      </font>
    </dxf>
    <dxf>
      <font>
        <color rgb="FFC00000"/>
      </font>
    </dxf>
    <dxf>
      <font>
        <color rgb="FFC00000"/>
      </font>
    </dxf>
    <dxf>
      <font>
        <b val="0"/>
        <i val="0"/>
        <color rgb="FFC00000"/>
      </font>
    </dxf>
    <dxf>
      <font>
        <color rgb="FFC00000"/>
      </font>
    </dxf>
    <dxf>
      <font>
        <color rgb="FFC00000"/>
      </font>
    </dxf>
    <dxf>
      <font>
        <b val="0"/>
        <i val="0"/>
        <color rgb="FFC00000"/>
      </font>
    </dxf>
    <dxf>
      <font>
        <color rgb="FFC00000"/>
      </font>
    </dxf>
    <dxf>
      <font>
        <color rgb="FFC00000"/>
      </font>
    </dxf>
    <dxf>
      <font>
        <b val="0"/>
        <i val="0"/>
        <color rgb="FFC00000"/>
      </font>
    </dxf>
    <dxf>
      <font>
        <color rgb="FFC00000"/>
      </font>
    </dxf>
    <dxf>
      <font>
        <color rgb="FFC00000"/>
      </font>
    </dxf>
    <dxf>
      <font>
        <b val="0"/>
        <i val="0"/>
        <color rgb="FFC00000"/>
      </font>
    </dxf>
    <dxf>
      <font>
        <color rgb="FFC00000"/>
      </font>
    </dxf>
    <dxf>
      <font>
        <color rgb="FFC00000"/>
      </font>
    </dxf>
    <dxf>
      <font>
        <color theme="0"/>
      </font>
      <fill>
        <gradientFill type="path" left="0.5" right="0.5" top="0.5" bottom="0.5">
          <stop position="0">
            <color rgb="FFFF0000"/>
          </stop>
          <stop position="1">
            <color rgb="FFC00000"/>
          </stop>
        </gradientFill>
      </fill>
    </dxf>
    <dxf>
      <fill>
        <gradientFill degree="90">
          <stop position="0">
            <color rgb="FFC00000"/>
          </stop>
          <stop position="0.5">
            <color rgb="FFFF0000"/>
          </stop>
          <stop position="1">
            <color rgb="FFC00000"/>
          </stop>
        </gradientFill>
      </fill>
    </dxf>
    <dxf>
      <fill>
        <gradientFill degree="90">
          <stop position="0">
            <color rgb="FF3232C8"/>
          </stop>
          <stop position="0.5">
            <color rgb="FF0F50FF"/>
          </stop>
          <stop position="1">
            <color rgb="FF3232C8"/>
          </stop>
        </gradientFill>
      </fill>
    </dxf>
    <dxf>
      <fill>
        <gradientFill type="path" left="0.5" right="0.5" top="0.5" bottom="0.5">
          <stop position="0">
            <color theme="6" tint="-0.25098422193060094"/>
          </stop>
          <stop position="1">
            <color theme="6" tint="-0.49803155613879818"/>
          </stop>
        </gradientFill>
      </fill>
    </dxf>
    <dxf>
      <fill>
        <gradientFill type="path" left="0.5" right="0.5" top="0.5" bottom="0.5">
          <stop position="0">
            <color rgb="FFFF0000"/>
          </stop>
          <stop position="1">
            <color rgb="FFC00000"/>
          </stop>
        </gradientFill>
      </fill>
    </dxf>
    <dxf>
      <fill>
        <gradientFill type="path" left="0.5" right="0.5" top="0.5" bottom="0.5">
          <stop position="0">
            <color rgb="FFFF0000"/>
          </stop>
          <stop position="1">
            <color rgb="FFC00000"/>
          </stop>
        </gradientFill>
      </fill>
    </dxf>
    <dxf>
      <fill>
        <gradientFill type="path" left="0.5" right="0.5" top="0.5" bottom="0.5">
          <stop position="0">
            <color theme="6" tint="-0.25098422193060094"/>
          </stop>
          <stop position="1">
            <color theme="6" tint="-0.49803155613879818"/>
          </stop>
        </gradientFill>
      </fill>
    </dxf>
    <dxf>
      <fill>
        <gradientFill type="path" left="0.5" right="0.5" top="0.5" bottom="0.5">
          <stop position="0">
            <color theme="6" tint="-0.25098422193060094"/>
          </stop>
          <stop position="1">
            <color theme="6" tint="-0.49803155613879818"/>
          </stop>
        </gradientFill>
      </fill>
    </dxf>
    <dxf>
      <fill>
        <gradientFill type="path" left="0.5" right="0.5" top="0.5" bottom="0.5">
          <stop position="0">
            <color rgb="FFFF0000"/>
          </stop>
          <stop position="1">
            <color rgb="FFC00000"/>
          </stop>
        </gradientFill>
      </fill>
    </dxf>
    <dxf>
      <fill>
        <gradientFill type="path" left="0.5" right="0.5" top="0.5" bottom="0.5">
          <stop position="0">
            <color theme="6" tint="-0.25098422193060094"/>
          </stop>
          <stop position="1">
            <color theme="6" tint="-0.49803155613879818"/>
          </stop>
        </gradientFill>
      </fill>
    </dxf>
    <dxf>
      <fill>
        <gradientFill type="path" left="0.5" right="0.5" top="0.5" bottom="0.5">
          <stop position="0">
            <color rgb="FFFF0000"/>
          </stop>
          <stop position="1">
            <color rgb="FFC00000"/>
          </stop>
        </gradientFill>
      </fill>
    </dxf>
    <dxf>
      <fill>
        <gradientFill type="path" left="0.5" right="0.5" top="0.5" bottom="0.5">
          <stop position="0">
            <color theme="6" tint="-0.25098422193060094"/>
          </stop>
          <stop position="1">
            <color theme="6" tint="-0.49803155613879818"/>
          </stop>
        </gradientFill>
      </fill>
    </dxf>
    <dxf>
      <fill>
        <gradientFill type="path" left="0.5" right="0.5" top="0.5" bottom="0.5">
          <stop position="0">
            <color rgb="FFFF0000"/>
          </stop>
          <stop position="1">
            <color rgb="FFC00000"/>
          </stop>
        </gradientFill>
      </fill>
    </dxf>
    <dxf>
      <fill>
        <gradientFill type="path" left="0.5" right="0.5" top="0.5" bottom="0.5">
          <stop position="0">
            <color theme="6" tint="-0.25098422193060094"/>
          </stop>
          <stop position="1">
            <color theme="6" tint="-0.49803155613879818"/>
          </stop>
        </gradientFill>
      </fill>
    </dxf>
    <dxf>
      <fill>
        <gradientFill type="path" left="0.5" right="0.5" top="0.5" bottom="0.5">
          <stop position="0">
            <color rgb="FFFF0000"/>
          </stop>
          <stop position="1">
            <color rgb="FFC00000"/>
          </stop>
        </gradientFill>
      </fill>
    </dxf>
    <dxf>
      <fill>
        <gradientFill degree="90">
          <stop position="0">
            <color rgb="FFC00000"/>
          </stop>
          <stop position="0.5">
            <color rgb="FFFF0000"/>
          </stop>
          <stop position="1">
            <color rgb="FFC00000"/>
          </stop>
        </gradientFill>
      </fill>
    </dxf>
    <dxf>
      <fill>
        <gradientFill degree="90">
          <stop position="0">
            <color rgb="FF3232C8"/>
          </stop>
          <stop position="0.5">
            <color rgb="FF0F50FF"/>
          </stop>
          <stop position="1">
            <color rgb="FF3232C8"/>
          </stop>
        </gradientFill>
      </fill>
    </dxf>
  </dxfs>
  <tableStyles count="0" defaultTableStyle="TableStyleMedium9" defaultPivotStyle="PivotStyleLight16"/>
  <colors>
    <mruColors>
      <color rgb="FFD5AC3A"/>
      <color rgb="FF0000FF"/>
      <color rgb="FF0070C0"/>
      <color rgb="FFC2D69A"/>
      <color rgb="FF70C0FF"/>
      <color rgb="FFFF70C0"/>
      <color rgb="FFB50000"/>
      <color rgb="FF760000"/>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microsoft.com/office/2006/relationships/vbaProject" Target="vbaProject.bin"/></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image" Target="../media/image2.jpeg"/></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9693788276466E-2"/>
          <c:y val="2.5273332768887762E-2"/>
          <c:w val="0.84777614464858564"/>
          <c:h val="0.94426001185335695"/>
        </c:manualLayout>
      </c:layout>
      <c:lineChart>
        <c:grouping val="standard"/>
        <c:varyColors val="0"/>
        <c:ser>
          <c:idx val="0"/>
          <c:order val="0"/>
          <c:spPr>
            <a:ln w="12700">
              <a:solidFill>
                <a:schemeClr val="accent6">
                  <a:lumMod val="75000"/>
                </a:schemeClr>
              </a:solidFill>
            </a:ln>
          </c:spPr>
          <c:marker>
            <c:symbol val="none"/>
          </c:marker>
          <c:trendline>
            <c:name>50 per. Mov. Avg</c:name>
            <c:spPr>
              <a:ln>
                <a:solidFill>
                  <a:srgbClr val="FF0000"/>
                </a:solidFill>
              </a:ln>
            </c:spPr>
            <c:trendlineType val="movingAvg"/>
            <c:period val="50"/>
            <c:dispRSqr val="0"/>
            <c:dispEq val="0"/>
          </c:trendline>
          <c:val>
            <c:numRef>
              <c:f>'RandomORG Trading Simulator'!$F$24:$F$523</c:f>
              <c:numCache>
                <c:formatCode>"£"#,##0</c:formatCode>
                <c:ptCount val="500"/>
                <c:pt idx="0">
                  <c:v>10000</c:v>
                </c:pt>
                <c:pt idx="1">
                  <c:v>10120</c:v>
                </c:pt>
                <c:pt idx="2">
                  <c:v>10018.799999999999</c:v>
                </c:pt>
                <c:pt idx="3">
                  <c:v>9918.6119999999992</c:v>
                </c:pt>
                <c:pt idx="4">
                  <c:v>10037.635343999998</c:v>
                </c:pt>
                <c:pt idx="5">
                  <c:v>10158.086968127998</c:v>
                </c:pt>
                <c:pt idx="6">
                  <c:v>10056.506098446718</c:v>
                </c:pt>
                <c:pt idx="7">
                  <c:v>9955.9410374622512</c:v>
                </c:pt>
                <c:pt idx="8">
                  <c:v>9856.3816270876287</c:v>
                </c:pt>
                <c:pt idx="9">
                  <c:v>9974.6582066126812</c:v>
                </c:pt>
                <c:pt idx="10">
                  <c:v>10094.354105092034</c:v>
                </c:pt>
                <c:pt idx="11">
                  <c:v>10215.486354353139</c:v>
                </c:pt>
                <c:pt idx="12">
                  <c:v>10113.331490809607</c:v>
                </c:pt>
                <c:pt idx="13">
                  <c:v>10234.691468699322</c:v>
                </c:pt>
                <c:pt idx="14">
                  <c:v>10357.507766323713</c:v>
                </c:pt>
                <c:pt idx="15">
                  <c:v>10481.797859519598</c:v>
                </c:pt>
                <c:pt idx="16">
                  <c:v>10607.579433833833</c:v>
                </c:pt>
                <c:pt idx="17">
                  <c:v>10501.503639495495</c:v>
                </c:pt>
                <c:pt idx="18">
                  <c:v>10627.521683169442</c:v>
                </c:pt>
                <c:pt idx="19">
                  <c:v>10755.051943367474</c:v>
                </c:pt>
                <c:pt idx="20">
                  <c:v>10884.112566687883</c:v>
                </c:pt>
                <c:pt idx="21">
                  <c:v>11014.721917488137</c:v>
                </c:pt>
                <c:pt idx="22">
                  <c:v>11146.898580497995</c:v>
                </c:pt>
                <c:pt idx="23">
                  <c:v>11035.429594693014</c:v>
                </c:pt>
                <c:pt idx="24">
                  <c:v>11167.85474982933</c:v>
                </c:pt>
                <c:pt idx="25">
                  <c:v>11301.869006827283</c:v>
                </c:pt>
                <c:pt idx="26">
                  <c:v>11437.491434909211</c:v>
                </c:pt>
                <c:pt idx="27">
                  <c:v>11574.741332128122</c:v>
                </c:pt>
                <c:pt idx="28">
                  <c:v>11713.638228113659</c:v>
                </c:pt>
                <c:pt idx="29">
                  <c:v>11854.201886851024</c:v>
                </c:pt>
                <c:pt idx="30">
                  <c:v>11996.452309493236</c:v>
                </c:pt>
                <c:pt idx="31">
                  <c:v>11876.487786398304</c:v>
                </c:pt>
                <c:pt idx="32">
                  <c:v>12019.005639835084</c:v>
                </c:pt>
                <c:pt idx="33">
                  <c:v>12163.233707513105</c:v>
                </c:pt>
                <c:pt idx="34">
                  <c:v>12041.601370437975</c:v>
                </c:pt>
                <c:pt idx="35">
                  <c:v>11921.185356733595</c:v>
                </c:pt>
                <c:pt idx="36">
                  <c:v>12064.239581014397</c:v>
                </c:pt>
                <c:pt idx="37">
                  <c:v>11943.597185204253</c:v>
                </c:pt>
                <c:pt idx="38">
                  <c:v>12086.920351426705</c:v>
                </c:pt>
                <c:pt idx="39">
                  <c:v>11966.051147912438</c:v>
                </c:pt>
                <c:pt idx="40">
                  <c:v>12109.643761687388</c:v>
                </c:pt>
                <c:pt idx="41">
                  <c:v>12254.959486827636</c:v>
                </c:pt>
                <c:pt idx="42">
                  <c:v>12132.40989195936</c:v>
                </c:pt>
                <c:pt idx="43">
                  <c:v>12277.998810662872</c:v>
                </c:pt>
                <c:pt idx="44">
                  <c:v>12155.218822556242</c:v>
                </c:pt>
                <c:pt idx="45">
                  <c:v>12301.081448426918</c:v>
                </c:pt>
                <c:pt idx="46">
                  <c:v>12448.69442580804</c:v>
                </c:pt>
                <c:pt idx="47">
                  <c:v>12324.20748154996</c:v>
                </c:pt>
                <c:pt idx="48">
                  <c:v>12200.96540673446</c:v>
                </c:pt>
                <c:pt idx="49">
                  <c:v>12347.376991615274</c:v>
                </c:pt>
                <c:pt idx="50">
                  <c:v>12223.903221699122</c:v>
                </c:pt>
                <c:pt idx="51">
                  <c:v>12370.590060359511</c:v>
                </c:pt>
                <c:pt idx="52">
                  <c:v>12246.884159755915</c:v>
                </c:pt>
                <c:pt idx="53">
                  <c:v>12124.415318158355</c:v>
                </c:pt>
                <c:pt idx="54">
                  <c:v>12269.908301976255</c:v>
                </c:pt>
                <c:pt idx="55">
                  <c:v>12147.209218956492</c:v>
                </c:pt>
                <c:pt idx="56">
                  <c:v>12025.737126766928</c:v>
                </c:pt>
                <c:pt idx="57">
                  <c:v>11905.479755499258</c:v>
                </c:pt>
                <c:pt idx="58">
                  <c:v>12048.345512565249</c:v>
                </c:pt>
                <c:pt idx="59">
                  <c:v>11927.862057439597</c:v>
                </c:pt>
                <c:pt idx="60">
                  <c:v>12070.996402128872</c:v>
                </c:pt>
                <c:pt idx="61">
                  <c:v>12215.848358954419</c:v>
                </c:pt>
                <c:pt idx="62">
                  <c:v>12362.438539261873</c:v>
                </c:pt>
                <c:pt idx="63">
                  <c:v>12510.787801733017</c:v>
                </c:pt>
                <c:pt idx="64">
                  <c:v>12660.917255353814</c:v>
                </c:pt>
                <c:pt idx="65">
                  <c:v>12534.308082800275</c:v>
                </c:pt>
                <c:pt idx="66">
                  <c:v>12408.965001972272</c:v>
                </c:pt>
                <c:pt idx="67">
                  <c:v>12557.87258199594</c:v>
                </c:pt>
                <c:pt idx="68">
                  <c:v>12432.29385617598</c:v>
                </c:pt>
                <c:pt idx="69">
                  <c:v>12581.481382450092</c:v>
                </c:pt>
                <c:pt idx="70">
                  <c:v>12732.459159039494</c:v>
                </c:pt>
                <c:pt idx="71">
                  <c:v>12885.248668947968</c:v>
                </c:pt>
                <c:pt idx="72">
                  <c:v>13039.871652975344</c:v>
                </c:pt>
                <c:pt idx="73">
                  <c:v>12909.472936445591</c:v>
                </c:pt>
                <c:pt idx="74">
                  <c:v>12780.378207081134</c:v>
                </c:pt>
                <c:pt idx="75">
                  <c:v>12652.574425010322</c:v>
                </c:pt>
                <c:pt idx="76">
                  <c:v>12526.048680760219</c:v>
                </c:pt>
                <c:pt idx="77">
                  <c:v>12676.361264929343</c:v>
                </c:pt>
                <c:pt idx="78">
                  <c:v>12828.477600108496</c:v>
                </c:pt>
                <c:pt idx="79">
                  <c:v>12982.419331309799</c:v>
                </c:pt>
                <c:pt idx="80">
                  <c:v>12852.595137996701</c:v>
                </c:pt>
                <c:pt idx="81">
                  <c:v>13006.826279652661</c:v>
                </c:pt>
                <c:pt idx="82">
                  <c:v>13162.908195008493</c:v>
                </c:pt>
                <c:pt idx="83">
                  <c:v>13031.279113058408</c:v>
                </c:pt>
                <c:pt idx="84">
                  <c:v>13187.65446241511</c:v>
                </c:pt>
                <c:pt idx="85">
                  <c:v>13055.77791779096</c:v>
                </c:pt>
                <c:pt idx="86">
                  <c:v>13212.447252804452</c:v>
                </c:pt>
                <c:pt idx="87">
                  <c:v>13370.996619838104</c:v>
                </c:pt>
                <c:pt idx="88">
                  <c:v>13237.286653639723</c:v>
                </c:pt>
                <c:pt idx="89">
                  <c:v>13396.134093483401</c:v>
                </c:pt>
                <c:pt idx="90">
                  <c:v>13262.172752548566</c:v>
                </c:pt>
                <c:pt idx="91">
                  <c:v>13421.318825579148</c:v>
                </c:pt>
                <c:pt idx="92">
                  <c:v>13287.105637323357</c:v>
                </c:pt>
                <c:pt idx="93">
                  <c:v>13446.550904971236</c:v>
                </c:pt>
                <c:pt idx="94">
                  <c:v>13607.909515830892</c:v>
                </c:pt>
                <c:pt idx="95">
                  <c:v>13471.830420672582</c:v>
                </c:pt>
                <c:pt idx="96">
                  <c:v>13633.492385720654</c:v>
                </c:pt>
                <c:pt idx="97">
                  <c:v>13497.157461863448</c:v>
                </c:pt>
                <c:pt idx="98">
                  <c:v>13362.185887244814</c:v>
                </c:pt>
                <c:pt idx="99">
                  <c:v>13228.564028372366</c:v>
                </c:pt>
                <c:pt idx="100">
                  <c:v>13387.306796712835</c:v>
                </c:pt>
                <c:pt idx="101">
                  <c:v>13253.433728745707</c:v>
                </c:pt>
                <c:pt idx="102">
                  <c:v>13412.474933490656</c:v>
                </c:pt>
                <c:pt idx="103">
                  <c:v>13573.424632692544</c:v>
                </c:pt>
                <c:pt idx="104">
                  <c:v>13736.305728284855</c:v>
                </c:pt>
                <c:pt idx="105">
                  <c:v>13901.141397024274</c:v>
                </c:pt>
                <c:pt idx="106">
                  <c:v>13762.12998305403</c:v>
                </c:pt>
                <c:pt idx="107">
                  <c:v>13624.50868322349</c:v>
                </c:pt>
                <c:pt idx="108">
                  <c:v>13488.263596391254</c:v>
                </c:pt>
                <c:pt idx="109">
                  <c:v>13353.380960427341</c:v>
                </c:pt>
                <c:pt idx="110">
                  <c:v>13513.621531952469</c:v>
                </c:pt>
                <c:pt idx="111">
                  <c:v>13675.784990335898</c:v>
                </c:pt>
                <c:pt idx="112">
                  <c:v>13839.894410219929</c:v>
                </c:pt>
                <c:pt idx="113">
                  <c:v>13701.495466117731</c:v>
                </c:pt>
                <c:pt idx="114">
                  <c:v>13865.913411711144</c:v>
                </c:pt>
                <c:pt idx="115">
                  <c:v>13727.254277594033</c:v>
                </c:pt>
                <c:pt idx="116">
                  <c:v>13589.981734818093</c:v>
                </c:pt>
                <c:pt idx="117">
                  <c:v>13753.061515635911</c:v>
                </c:pt>
                <c:pt idx="118">
                  <c:v>13918.098253823542</c:v>
                </c:pt>
                <c:pt idx="119">
                  <c:v>14085.115432869425</c:v>
                </c:pt>
                <c:pt idx="120">
                  <c:v>13944.26427854073</c:v>
                </c:pt>
                <c:pt idx="121">
                  <c:v>14111.595449883218</c:v>
                </c:pt>
                <c:pt idx="122">
                  <c:v>14280.934595281817</c:v>
                </c:pt>
                <c:pt idx="123">
                  <c:v>14452.305810425198</c:v>
                </c:pt>
                <c:pt idx="124">
                  <c:v>14307.782752320945</c:v>
                </c:pt>
                <c:pt idx="125">
                  <c:v>14164.704924797736</c:v>
                </c:pt>
                <c:pt idx="126">
                  <c:v>14334.681383895309</c:v>
                </c:pt>
                <c:pt idx="127">
                  <c:v>14191.334570056357</c:v>
                </c:pt>
                <c:pt idx="128">
                  <c:v>14361.630584897033</c:v>
                </c:pt>
                <c:pt idx="129">
                  <c:v>14218.014279048062</c:v>
                </c:pt>
                <c:pt idx="130">
                  <c:v>14075.834136257581</c:v>
                </c:pt>
                <c:pt idx="131">
                  <c:v>13935.075794895005</c:v>
                </c:pt>
                <c:pt idx="132">
                  <c:v>14102.296704433746</c:v>
                </c:pt>
                <c:pt idx="133">
                  <c:v>13961.273737389409</c:v>
                </c:pt>
                <c:pt idx="134">
                  <c:v>13821.661000015514</c:v>
                </c:pt>
                <c:pt idx="135">
                  <c:v>13987.520932015701</c:v>
                </c:pt>
                <c:pt idx="136">
                  <c:v>14155.37118319989</c:v>
                </c:pt>
                <c:pt idx="137">
                  <c:v>14013.817471367891</c:v>
                </c:pt>
                <c:pt idx="138">
                  <c:v>14181.983281024306</c:v>
                </c:pt>
                <c:pt idx="139">
                  <c:v>14040.163448214063</c:v>
                </c:pt>
                <c:pt idx="140">
                  <c:v>13899.761813731922</c:v>
                </c:pt>
                <c:pt idx="141">
                  <c:v>13760.764195594604</c:v>
                </c:pt>
                <c:pt idx="142">
                  <c:v>13623.156553638657</c:v>
                </c:pt>
                <c:pt idx="143">
                  <c:v>13786.634432282321</c:v>
                </c:pt>
                <c:pt idx="144">
                  <c:v>13952.074045469708</c:v>
                </c:pt>
                <c:pt idx="145">
                  <c:v>14119.498934015344</c:v>
                </c:pt>
                <c:pt idx="146">
                  <c:v>14288.932921223528</c:v>
                </c:pt>
                <c:pt idx="147">
                  <c:v>14146.043592011292</c:v>
                </c:pt>
                <c:pt idx="148">
                  <c:v>14004.583156091179</c:v>
                </c:pt>
                <c:pt idx="149">
                  <c:v>13864.537324530267</c:v>
                </c:pt>
                <c:pt idx="150">
                  <c:v>14030.91177242463</c:v>
                </c:pt>
                <c:pt idx="151">
                  <c:v>13890.602654700384</c:v>
                </c:pt>
                <c:pt idx="152">
                  <c:v>14057.289886556789</c:v>
                </c:pt>
                <c:pt idx="153">
                  <c:v>13916.716987691221</c:v>
                </c:pt>
                <c:pt idx="154">
                  <c:v>13777.54981781431</c:v>
                </c:pt>
                <c:pt idx="155">
                  <c:v>13639.774319636166</c:v>
                </c:pt>
                <c:pt idx="156">
                  <c:v>13503.376576439805</c:v>
                </c:pt>
                <c:pt idx="157">
                  <c:v>13665.417095357083</c:v>
                </c:pt>
                <c:pt idx="158">
                  <c:v>13829.402100501367</c:v>
                </c:pt>
                <c:pt idx="159">
                  <c:v>13691.108079496353</c:v>
                </c:pt>
                <c:pt idx="160">
                  <c:v>13855.401376450309</c:v>
                </c:pt>
                <c:pt idx="161">
                  <c:v>14021.666192967712</c:v>
                </c:pt>
                <c:pt idx="162">
                  <c:v>14189.926187283325</c:v>
                </c:pt>
                <c:pt idx="163">
                  <c:v>14048.026925410491</c:v>
                </c:pt>
                <c:pt idx="164">
                  <c:v>14216.603248515417</c:v>
                </c:pt>
                <c:pt idx="165">
                  <c:v>14387.202487497603</c:v>
                </c:pt>
                <c:pt idx="166">
                  <c:v>14559.848917347575</c:v>
                </c:pt>
                <c:pt idx="167">
                  <c:v>14414.2504281741</c:v>
                </c:pt>
                <c:pt idx="168">
                  <c:v>14587.22143331219</c:v>
                </c:pt>
                <c:pt idx="169">
                  <c:v>14441.349218979069</c:v>
                </c:pt>
                <c:pt idx="170">
                  <c:v>14296.935726789277</c:v>
                </c:pt>
                <c:pt idx="171">
                  <c:v>14153.966369521384</c:v>
                </c:pt>
                <c:pt idx="172">
                  <c:v>14012.42670582617</c:v>
                </c:pt>
                <c:pt idx="173">
                  <c:v>13872.302438767909</c:v>
                </c:pt>
                <c:pt idx="174">
                  <c:v>13733.57941438023</c:v>
                </c:pt>
                <c:pt idx="175">
                  <c:v>13596.243620236428</c:v>
                </c:pt>
                <c:pt idx="176">
                  <c:v>13759.398543679265</c:v>
                </c:pt>
                <c:pt idx="177">
                  <c:v>13621.804558242471</c:v>
                </c:pt>
                <c:pt idx="178">
                  <c:v>13485.586512660046</c:v>
                </c:pt>
                <c:pt idx="179">
                  <c:v>13350.730647533444</c:v>
                </c:pt>
                <c:pt idx="180">
                  <c:v>13510.939415303847</c:v>
                </c:pt>
                <c:pt idx="181">
                  <c:v>13673.070688287493</c:v>
                </c:pt>
                <c:pt idx="182">
                  <c:v>13536.339981404617</c:v>
                </c:pt>
                <c:pt idx="183">
                  <c:v>13400.97658159057</c:v>
                </c:pt>
                <c:pt idx="184">
                  <c:v>13266.966815774664</c:v>
                </c:pt>
                <c:pt idx="185">
                  <c:v>13426.170417563961</c:v>
                </c:pt>
                <c:pt idx="186">
                  <c:v>13291.90871338832</c:v>
                </c:pt>
                <c:pt idx="187">
                  <c:v>13451.411617948981</c:v>
                </c:pt>
                <c:pt idx="188">
                  <c:v>13612.82855736437</c:v>
                </c:pt>
                <c:pt idx="189">
                  <c:v>13476.700271790725</c:v>
                </c:pt>
                <c:pt idx="190">
                  <c:v>13341.933269072819</c:v>
                </c:pt>
                <c:pt idx="191">
                  <c:v>13502.036468301692</c:v>
                </c:pt>
                <c:pt idx="192">
                  <c:v>13664.060905921313</c:v>
                </c:pt>
                <c:pt idx="193">
                  <c:v>13527.420296862099</c:v>
                </c:pt>
                <c:pt idx="194">
                  <c:v>13392.146093893478</c:v>
                </c:pt>
                <c:pt idx="195">
                  <c:v>13552.8518470202</c:v>
                </c:pt>
                <c:pt idx="196">
                  <c:v>13715.486069184442</c:v>
                </c:pt>
                <c:pt idx="197">
                  <c:v>13578.331208492598</c:v>
                </c:pt>
                <c:pt idx="198">
                  <c:v>13741.271182994509</c:v>
                </c:pt>
                <c:pt idx="199">
                  <c:v>13603.858471164564</c:v>
                </c:pt>
                <c:pt idx="200">
                  <c:v>13467.819886452919</c:v>
                </c:pt>
                <c:pt idx="201">
                  <c:v>13333.14168758839</c:v>
                </c:pt>
                <c:pt idx="202">
                  <c:v>13199.810270712505</c:v>
                </c:pt>
                <c:pt idx="203">
                  <c:v>13067.812168005381</c:v>
                </c:pt>
                <c:pt idx="204">
                  <c:v>13224.625914021446</c:v>
                </c:pt>
                <c:pt idx="205">
                  <c:v>13383.321424989703</c:v>
                </c:pt>
                <c:pt idx="206">
                  <c:v>13249.488210739806</c:v>
                </c:pt>
                <c:pt idx="207">
                  <c:v>13408.482069268684</c:v>
                </c:pt>
                <c:pt idx="208">
                  <c:v>13569.38385409991</c:v>
                </c:pt>
                <c:pt idx="209">
                  <c:v>13433.69001555891</c:v>
                </c:pt>
                <c:pt idx="210">
                  <c:v>13594.894295745617</c:v>
                </c:pt>
                <c:pt idx="211">
                  <c:v>13758.033027294565</c:v>
                </c:pt>
                <c:pt idx="212">
                  <c:v>13620.452697021619</c:v>
                </c:pt>
                <c:pt idx="213">
                  <c:v>13484.248170051404</c:v>
                </c:pt>
                <c:pt idx="214">
                  <c:v>13349.405688350889</c:v>
                </c:pt>
                <c:pt idx="215">
                  <c:v>13215.911631467381</c:v>
                </c:pt>
                <c:pt idx="216">
                  <c:v>13374.50257104499</c:v>
                </c:pt>
                <c:pt idx="217">
                  <c:v>13240.75754533454</c:v>
                </c:pt>
                <c:pt idx="218">
                  <c:v>13108.349969881194</c:v>
                </c:pt>
                <c:pt idx="219">
                  <c:v>12977.266470182381</c:v>
                </c:pt>
                <c:pt idx="220">
                  <c:v>12847.493805480557</c:v>
                </c:pt>
                <c:pt idx="221">
                  <c:v>12719.018867425752</c:v>
                </c:pt>
                <c:pt idx="222">
                  <c:v>12871.647093834861</c:v>
                </c:pt>
                <c:pt idx="223">
                  <c:v>12742.930622896512</c:v>
                </c:pt>
                <c:pt idx="224">
                  <c:v>12895.845790371272</c:v>
                </c:pt>
                <c:pt idx="225">
                  <c:v>12766.887332467559</c:v>
                </c:pt>
                <c:pt idx="226">
                  <c:v>12920.089980457169</c:v>
                </c:pt>
                <c:pt idx="227">
                  <c:v>13075.131060222655</c:v>
                </c:pt>
                <c:pt idx="228">
                  <c:v>13232.032632945327</c:v>
                </c:pt>
                <c:pt idx="229">
                  <c:v>13390.817024540671</c:v>
                </c:pt>
                <c:pt idx="230">
                  <c:v>13256.908854295265</c:v>
                </c:pt>
                <c:pt idx="231">
                  <c:v>13124.339765752313</c:v>
                </c:pt>
                <c:pt idx="232">
                  <c:v>12993.09636809479</c:v>
                </c:pt>
                <c:pt idx="233">
                  <c:v>13149.013524511927</c:v>
                </c:pt>
                <c:pt idx="234">
                  <c:v>13017.523389266807</c:v>
                </c:pt>
                <c:pt idx="235">
                  <c:v>13173.733669938008</c:v>
                </c:pt>
                <c:pt idx="236">
                  <c:v>13041.996333238629</c:v>
                </c:pt>
                <c:pt idx="237">
                  <c:v>12911.576369906243</c:v>
                </c:pt>
                <c:pt idx="238">
                  <c:v>13066.515286345119</c:v>
                </c:pt>
                <c:pt idx="239">
                  <c:v>12935.850133481666</c:v>
                </c:pt>
                <c:pt idx="240">
                  <c:v>12806.49163214685</c:v>
                </c:pt>
                <c:pt idx="241">
                  <c:v>12960.169531732612</c:v>
                </c:pt>
                <c:pt idx="242">
                  <c:v>12830.567836415286</c:v>
                </c:pt>
                <c:pt idx="243">
                  <c:v>12984.534650452269</c:v>
                </c:pt>
                <c:pt idx="244">
                  <c:v>13140.349066257697</c:v>
                </c:pt>
                <c:pt idx="245">
                  <c:v>13008.94557559512</c:v>
                </c:pt>
                <c:pt idx="246">
                  <c:v>12878.856119839169</c:v>
                </c:pt>
                <c:pt idx="247">
                  <c:v>13033.40239327724</c:v>
                </c:pt>
                <c:pt idx="248">
                  <c:v>13189.803221996566</c:v>
                </c:pt>
                <c:pt idx="249">
                  <c:v>13057.9051897766</c:v>
                </c:pt>
                <c:pt idx="250">
                  <c:v>12927.326137878834</c:v>
                </c:pt>
                <c:pt idx="251">
                  <c:v>13082.454051533379</c:v>
                </c:pt>
                <c:pt idx="252">
                  <c:v>13239.44350015178</c:v>
                </c:pt>
                <c:pt idx="253">
                  <c:v>13107.049065150262</c:v>
                </c:pt>
                <c:pt idx="254">
                  <c:v>13264.333653932066</c:v>
                </c:pt>
                <c:pt idx="255">
                  <c:v>13131.690317392746</c:v>
                </c:pt>
                <c:pt idx="256">
                  <c:v>13289.270601201459</c:v>
                </c:pt>
                <c:pt idx="257">
                  <c:v>13448.741848415877</c:v>
                </c:pt>
                <c:pt idx="258">
                  <c:v>13314.254429931718</c:v>
                </c:pt>
                <c:pt idx="259">
                  <c:v>13181.111885632401</c:v>
                </c:pt>
                <c:pt idx="260">
                  <c:v>13049.300766776078</c:v>
                </c:pt>
                <c:pt idx="261">
                  <c:v>12918.807759108317</c:v>
                </c:pt>
                <c:pt idx="262">
                  <c:v>13073.833452217616</c:v>
                </c:pt>
                <c:pt idx="263">
                  <c:v>12943.095117695439</c:v>
                </c:pt>
                <c:pt idx="264">
                  <c:v>13098.412259107785</c:v>
                </c:pt>
                <c:pt idx="265">
                  <c:v>13255.593206217078</c:v>
                </c:pt>
                <c:pt idx="266">
                  <c:v>13414.660324691682</c:v>
                </c:pt>
                <c:pt idx="267">
                  <c:v>13575.636248587982</c:v>
                </c:pt>
                <c:pt idx="268">
                  <c:v>13439.879886102102</c:v>
                </c:pt>
                <c:pt idx="269">
                  <c:v>13601.158444735327</c:v>
                </c:pt>
                <c:pt idx="270">
                  <c:v>13764.37234607215</c:v>
                </c:pt>
                <c:pt idx="271">
                  <c:v>13626.728622611428</c:v>
                </c:pt>
                <c:pt idx="272">
                  <c:v>13790.249366082766</c:v>
                </c:pt>
                <c:pt idx="273">
                  <c:v>13955.73235847576</c:v>
                </c:pt>
                <c:pt idx="274">
                  <c:v>14123.201146777468</c:v>
                </c:pt>
                <c:pt idx="275">
                  <c:v>13981.969135309693</c:v>
                </c:pt>
                <c:pt idx="276">
                  <c:v>13842.149443956596</c:v>
                </c:pt>
                <c:pt idx="277">
                  <c:v>13703.72794951703</c:v>
                </c:pt>
                <c:pt idx="278">
                  <c:v>13566.690670021859</c:v>
                </c:pt>
                <c:pt idx="279">
                  <c:v>13431.02376332164</c:v>
                </c:pt>
                <c:pt idx="280">
                  <c:v>13592.196048481501</c:v>
                </c:pt>
                <c:pt idx="281">
                  <c:v>13456.274087996686</c:v>
                </c:pt>
                <c:pt idx="282">
                  <c:v>13617.749377052647</c:v>
                </c:pt>
                <c:pt idx="283">
                  <c:v>13781.16236957728</c:v>
                </c:pt>
                <c:pt idx="284">
                  <c:v>13643.350745881507</c:v>
                </c:pt>
                <c:pt idx="285">
                  <c:v>13506.917238422693</c:v>
                </c:pt>
                <c:pt idx="286">
                  <c:v>13669.000245283765</c:v>
                </c:pt>
                <c:pt idx="287">
                  <c:v>13833.02824822717</c:v>
                </c:pt>
                <c:pt idx="288">
                  <c:v>13999.024587205897</c:v>
                </c:pt>
                <c:pt idx="289">
                  <c:v>13859.034341333838</c:v>
                </c:pt>
                <c:pt idx="290">
                  <c:v>14025.342753429844</c:v>
                </c:pt>
                <c:pt idx="291">
                  <c:v>14193.646866471003</c:v>
                </c:pt>
                <c:pt idx="292">
                  <c:v>14363.970628868656</c:v>
                </c:pt>
                <c:pt idx="293">
                  <c:v>14220.330922579969</c:v>
                </c:pt>
                <c:pt idx="294">
                  <c:v>14078.127613354169</c:v>
                </c:pt>
                <c:pt idx="295">
                  <c:v>14247.065144714419</c:v>
                </c:pt>
                <c:pt idx="296">
                  <c:v>14418.029926450992</c:v>
                </c:pt>
                <c:pt idx="297">
                  <c:v>14591.046285568404</c:v>
                </c:pt>
                <c:pt idx="298">
                  <c:v>14766.138840995225</c:v>
                </c:pt>
                <c:pt idx="299">
                  <c:v>14943.332507087169</c:v>
                </c:pt>
                <c:pt idx="300">
                  <c:v>15122.652497172216</c:v>
                </c:pt>
                <c:pt idx="301">
                  <c:v>15304.124327138283</c:v>
                </c:pt>
                <c:pt idx="302">
                  <c:v>15487.773819063943</c:v>
                </c:pt>
                <c:pt idx="303">
                  <c:v>15673.62710489271</c:v>
                </c:pt>
                <c:pt idx="304">
                  <c:v>15516.890833843783</c:v>
                </c:pt>
                <c:pt idx="305">
                  <c:v>15703.09352384991</c:v>
                </c:pt>
                <c:pt idx="306">
                  <c:v>15891.530646136109</c:v>
                </c:pt>
                <c:pt idx="307">
                  <c:v>15732.615339674747</c:v>
                </c:pt>
                <c:pt idx="308">
                  <c:v>15921.406723750844</c:v>
                </c:pt>
                <c:pt idx="309">
                  <c:v>15762.192656513336</c:v>
                </c:pt>
                <c:pt idx="310">
                  <c:v>15951.338968391496</c:v>
                </c:pt>
                <c:pt idx="311">
                  <c:v>15791.825578707581</c:v>
                </c:pt>
                <c:pt idx="312">
                  <c:v>15981.327485652073</c:v>
                </c:pt>
                <c:pt idx="313">
                  <c:v>16173.103415479898</c:v>
                </c:pt>
                <c:pt idx="314">
                  <c:v>16367.180656465656</c:v>
                </c:pt>
                <c:pt idx="315">
                  <c:v>16203.508849901</c:v>
                </c:pt>
                <c:pt idx="316">
                  <c:v>16397.950956099812</c:v>
                </c:pt>
                <c:pt idx="317">
                  <c:v>16233.971446538813</c:v>
                </c:pt>
                <c:pt idx="318">
                  <c:v>16428.779103897279</c:v>
                </c:pt>
                <c:pt idx="319">
                  <c:v>16625.924453144045</c:v>
                </c:pt>
                <c:pt idx="320">
                  <c:v>16459.665208612605</c:v>
                </c:pt>
                <c:pt idx="321">
                  <c:v>16295.068556526479</c:v>
                </c:pt>
                <c:pt idx="322">
                  <c:v>16490.609379204798</c:v>
                </c:pt>
                <c:pt idx="323">
                  <c:v>16688.496691755256</c:v>
                </c:pt>
                <c:pt idx="324">
                  <c:v>16888.75865205632</c:v>
                </c:pt>
                <c:pt idx="325">
                  <c:v>16719.871065535757</c:v>
                </c:pt>
                <c:pt idx="326">
                  <c:v>16920.509518322186</c:v>
                </c:pt>
                <c:pt idx="327">
                  <c:v>17123.555632542051</c:v>
                </c:pt>
                <c:pt idx="328">
                  <c:v>17329.038300132557</c:v>
                </c:pt>
                <c:pt idx="329">
                  <c:v>17155.74791713123</c:v>
                </c:pt>
                <c:pt idx="330">
                  <c:v>16984.190437959918</c:v>
                </c:pt>
                <c:pt idx="331">
                  <c:v>16814.34853358032</c:v>
                </c:pt>
                <c:pt idx="332">
                  <c:v>17016.120715983285</c:v>
                </c:pt>
                <c:pt idx="333">
                  <c:v>17220.314164575084</c:v>
                </c:pt>
                <c:pt idx="334">
                  <c:v>17426.957934549984</c:v>
                </c:pt>
                <c:pt idx="335">
                  <c:v>17252.688355204486</c:v>
                </c:pt>
                <c:pt idx="336">
                  <c:v>17459.72061546694</c:v>
                </c:pt>
                <c:pt idx="337">
                  <c:v>17669.237262852545</c:v>
                </c:pt>
                <c:pt idx="338">
                  <c:v>17881.268110006775</c:v>
                </c:pt>
                <c:pt idx="339">
                  <c:v>17702.455428906705</c:v>
                </c:pt>
                <c:pt idx="340">
                  <c:v>17914.884894053586</c:v>
                </c:pt>
                <c:pt idx="341">
                  <c:v>17735.736045113052</c:v>
                </c:pt>
                <c:pt idx="342">
                  <c:v>17558.378684661922</c:v>
                </c:pt>
                <c:pt idx="343">
                  <c:v>17382.794897815304</c:v>
                </c:pt>
                <c:pt idx="344">
                  <c:v>17208.966948837151</c:v>
                </c:pt>
                <c:pt idx="345">
                  <c:v>17415.474552223197</c:v>
                </c:pt>
                <c:pt idx="346">
                  <c:v>17624.460246849874</c:v>
                </c:pt>
                <c:pt idx="347">
                  <c:v>17448.215644381376</c:v>
                </c:pt>
                <c:pt idx="348">
                  <c:v>17657.594232113952</c:v>
                </c:pt>
                <c:pt idx="349">
                  <c:v>17481.018289792813</c:v>
                </c:pt>
                <c:pt idx="350">
                  <c:v>17690.790509270326</c:v>
                </c:pt>
                <c:pt idx="351">
                  <c:v>17513.882604177623</c:v>
                </c:pt>
                <c:pt idx="352">
                  <c:v>17338.743778135846</c:v>
                </c:pt>
                <c:pt idx="353">
                  <c:v>17165.356340354487</c:v>
                </c:pt>
                <c:pt idx="354">
                  <c:v>17371.340616438742</c:v>
                </c:pt>
                <c:pt idx="355">
                  <c:v>17197.627210274353</c:v>
                </c:pt>
                <c:pt idx="356">
                  <c:v>17025.65093817161</c:v>
                </c:pt>
                <c:pt idx="357">
                  <c:v>17229.958749429668</c:v>
                </c:pt>
                <c:pt idx="358">
                  <c:v>17436.718254422824</c:v>
                </c:pt>
                <c:pt idx="359">
                  <c:v>17645.958873475898</c:v>
                </c:pt>
                <c:pt idx="360">
                  <c:v>17857.710379957611</c:v>
                </c:pt>
                <c:pt idx="361">
                  <c:v>18072.002904517103</c:v>
                </c:pt>
                <c:pt idx="362">
                  <c:v>18288.86693937131</c:v>
                </c:pt>
                <c:pt idx="363">
                  <c:v>18508.333342643768</c:v>
                </c:pt>
                <c:pt idx="364">
                  <c:v>18323.250009217329</c:v>
                </c:pt>
                <c:pt idx="365">
                  <c:v>18140.017509125155</c:v>
                </c:pt>
                <c:pt idx="366">
                  <c:v>17958.617334033905</c:v>
                </c:pt>
                <c:pt idx="367">
                  <c:v>18174.120742042312</c:v>
                </c:pt>
                <c:pt idx="368">
                  <c:v>17992.37953462189</c:v>
                </c:pt>
                <c:pt idx="369">
                  <c:v>17812.455739275672</c:v>
                </c:pt>
                <c:pt idx="370">
                  <c:v>17634.331181882917</c:v>
                </c:pt>
                <c:pt idx="371">
                  <c:v>17845.943156065514</c:v>
                </c:pt>
                <c:pt idx="372">
                  <c:v>18060.094473938301</c:v>
                </c:pt>
                <c:pt idx="373">
                  <c:v>18276.815607625562</c:v>
                </c:pt>
                <c:pt idx="374">
                  <c:v>18496.13739491707</c:v>
                </c:pt>
                <c:pt idx="375">
                  <c:v>18311.176020967898</c:v>
                </c:pt>
                <c:pt idx="376">
                  <c:v>18530.910133219513</c:v>
                </c:pt>
                <c:pt idx="377">
                  <c:v>18345.60103188732</c:v>
                </c:pt>
                <c:pt idx="378">
                  <c:v>18162.145021568445</c:v>
                </c:pt>
                <c:pt idx="379">
                  <c:v>18380.090761827269</c:v>
                </c:pt>
                <c:pt idx="380">
                  <c:v>18600.651850969196</c:v>
                </c:pt>
                <c:pt idx="381">
                  <c:v>18823.859673180825</c:v>
                </c:pt>
                <c:pt idx="382">
                  <c:v>19049.745989258994</c:v>
                </c:pt>
                <c:pt idx="383">
                  <c:v>18859.248529366403</c:v>
                </c:pt>
                <c:pt idx="384">
                  <c:v>18670.656044072737</c:v>
                </c:pt>
                <c:pt idx="385">
                  <c:v>18894.703916601611</c:v>
                </c:pt>
                <c:pt idx="386">
                  <c:v>19121.440363600832</c:v>
                </c:pt>
                <c:pt idx="387">
                  <c:v>18930.225959964824</c:v>
                </c:pt>
                <c:pt idx="388">
                  <c:v>18740.923700365176</c:v>
                </c:pt>
                <c:pt idx="389">
                  <c:v>18553.514463361524</c:v>
                </c:pt>
                <c:pt idx="390">
                  <c:v>18367.979318727907</c:v>
                </c:pt>
                <c:pt idx="391">
                  <c:v>18588.39507055264</c:v>
                </c:pt>
                <c:pt idx="392">
                  <c:v>18402.511119847113</c:v>
                </c:pt>
                <c:pt idx="393">
                  <c:v>18623.341253285278</c:v>
                </c:pt>
                <c:pt idx="394">
                  <c:v>18437.107840752426</c:v>
                </c:pt>
                <c:pt idx="395">
                  <c:v>18658.353134841454</c:v>
                </c:pt>
                <c:pt idx="396">
                  <c:v>18471.769603493041</c:v>
                </c:pt>
                <c:pt idx="397">
                  <c:v>18287.05190745811</c:v>
                </c:pt>
                <c:pt idx="398">
                  <c:v>18104.181388383528</c:v>
                </c:pt>
                <c:pt idx="399">
                  <c:v>18321.431565044131</c:v>
                </c:pt>
                <c:pt idx="400">
                  <c:v>18138.217249393689</c:v>
                </c:pt>
                <c:pt idx="401">
                  <c:v>17956.835076899752</c:v>
                </c:pt>
                <c:pt idx="402">
                  <c:v>17777.266726130754</c:v>
                </c:pt>
                <c:pt idx="403">
                  <c:v>17990.593926844322</c:v>
                </c:pt>
                <c:pt idx="404">
                  <c:v>18206.481053966454</c:v>
                </c:pt>
                <c:pt idx="405">
                  <c:v>18424.958826614053</c:v>
                </c:pt>
                <c:pt idx="406">
                  <c:v>18646.058332533423</c:v>
                </c:pt>
                <c:pt idx="407">
                  <c:v>18869.811032523823</c:v>
                </c:pt>
                <c:pt idx="408">
                  <c:v>19096.248764914108</c:v>
                </c:pt>
                <c:pt idx="409">
                  <c:v>18905.286277264968</c:v>
                </c:pt>
                <c:pt idx="410">
                  <c:v>19132.149712592149</c:v>
                </c:pt>
                <c:pt idx="411">
                  <c:v>18940.828215466227</c:v>
                </c:pt>
                <c:pt idx="412">
                  <c:v>19168.118154051823</c:v>
                </c:pt>
                <c:pt idx="413">
                  <c:v>18976.436972511303</c:v>
                </c:pt>
                <c:pt idx="414">
                  <c:v>19204.15421618144</c:v>
                </c:pt>
                <c:pt idx="415">
                  <c:v>19434.604066775617</c:v>
                </c:pt>
                <c:pt idx="416">
                  <c:v>19667.819315576926</c:v>
                </c:pt>
                <c:pt idx="417">
                  <c:v>19471.141122421155</c:v>
                </c:pt>
                <c:pt idx="418">
                  <c:v>19704.794815890211</c:v>
                </c:pt>
                <c:pt idx="419">
                  <c:v>19507.746867731308</c:v>
                </c:pt>
                <c:pt idx="420">
                  <c:v>19312.669399053993</c:v>
                </c:pt>
                <c:pt idx="421">
                  <c:v>19119.542705063453</c:v>
                </c:pt>
                <c:pt idx="422">
                  <c:v>18928.347278012818</c:v>
                </c:pt>
                <c:pt idx="423">
                  <c:v>18739.06380523269</c:v>
                </c:pt>
                <c:pt idx="424">
                  <c:v>18963.932570895482</c:v>
                </c:pt>
                <c:pt idx="425">
                  <c:v>19191.499761746229</c:v>
                </c:pt>
                <c:pt idx="426">
                  <c:v>18999.584764128766</c:v>
                </c:pt>
                <c:pt idx="427">
                  <c:v>19227.579781298311</c:v>
                </c:pt>
                <c:pt idx="428">
                  <c:v>19458.310738673892</c:v>
                </c:pt>
                <c:pt idx="429">
                  <c:v>19691.81046753798</c:v>
                </c:pt>
                <c:pt idx="430">
                  <c:v>19928.112193148438</c:v>
                </c:pt>
                <c:pt idx="431">
                  <c:v>20167.249539466218</c:v>
                </c:pt>
                <c:pt idx="432">
                  <c:v>19965.577044071557</c:v>
                </c:pt>
                <c:pt idx="433">
                  <c:v>19765.92127363084</c:v>
                </c:pt>
                <c:pt idx="434">
                  <c:v>19568.262060894533</c:v>
                </c:pt>
                <c:pt idx="435">
                  <c:v>19803.081205625269</c:v>
                </c:pt>
                <c:pt idx="436">
                  <c:v>19605.050393569018</c:v>
                </c:pt>
                <c:pt idx="437">
                  <c:v>19408.999889633327</c:v>
                </c:pt>
                <c:pt idx="438">
                  <c:v>19641.907888308928</c:v>
                </c:pt>
                <c:pt idx="439">
                  <c:v>19445.488809425839</c:v>
                </c:pt>
                <c:pt idx="440">
                  <c:v>19251.033921331578</c:v>
                </c:pt>
                <c:pt idx="441">
                  <c:v>19058.523582118261</c:v>
                </c:pt>
                <c:pt idx="442">
                  <c:v>18867.93834629708</c:v>
                </c:pt>
                <c:pt idx="443">
                  <c:v>19094.353606452645</c:v>
                </c:pt>
                <c:pt idx="444">
                  <c:v>19323.485849730077</c:v>
                </c:pt>
                <c:pt idx="445">
                  <c:v>19555.36767992684</c:v>
                </c:pt>
                <c:pt idx="446">
                  <c:v>19790.032092085963</c:v>
                </c:pt>
                <c:pt idx="447">
                  <c:v>20027.512477190994</c:v>
                </c:pt>
                <c:pt idx="448">
                  <c:v>20267.842626917285</c:v>
                </c:pt>
                <c:pt idx="449">
                  <c:v>20511.056738440293</c:v>
                </c:pt>
                <c:pt idx="450">
                  <c:v>20757.189419301576</c:v>
                </c:pt>
                <c:pt idx="451">
                  <c:v>20549.617525108559</c:v>
                </c:pt>
                <c:pt idx="452">
                  <c:v>20796.212935409862</c:v>
                </c:pt>
                <c:pt idx="453">
                  <c:v>20588.250806055763</c:v>
                </c:pt>
                <c:pt idx="454">
                  <c:v>20382.368297995206</c:v>
                </c:pt>
                <c:pt idx="455">
                  <c:v>20626.956717571149</c:v>
                </c:pt>
                <c:pt idx="456">
                  <c:v>20874.480198182002</c:v>
                </c:pt>
                <c:pt idx="457">
                  <c:v>21124.973960560186</c:v>
                </c:pt>
                <c:pt idx="458">
                  <c:v>20913.724220954584</c:v>
                </c:pt>
                <c:pt idx="459">
                  <c:v>21164.688911606037</c:v>
                </c:pt>
                <c:pt idx="460">
                  <c:v>21418.66517854531</c:v>
                </c:pt>
                <c:pt idx="461">
                  <c:v>21675.689160687856</c:v>
                </c:pt>
                <c:pt idx="462">
                  <c:v>21935.797430616112</c:v>
                </c:pt>
                <c:pt idx="463">
                  <c:v>22199.026999783506</c:v>
                </c:pt>
                <c:pt idx="464">
                  <c:v>22465.415323780908</c:v>
                </c:pt>
                <c:pt idx="465">
                  <c:v>22735.00030766628</c:v>
                </c:pt>
                <c:pt idx="466">
                  <c:v>22507.650304589617</c:v>
                </c:pt>
                <c:pt idx="467">
                  <c:v>22282.57380154372</c:v>
                </c:pt>
                <c:pt idx="468">
                  <c:v>22549.964687162246</c:v>
                </c:pt>
                <c:pt idx="469">
                  <c:v>22820.564263408192</c:v>
                </c:pt>
                <c:pt idx="470">
                  <c:v>23094.41103456909</c:v>
                </c:pt>
                <c:pt idx="471">
                  <c:v>22863.466924223398</c:v>
                </c:pt>
                <c:pt idx="472">
                  <c:v>22634.832254981164</c:v>
                </c:pt>
                <c:pt idx="473">
                  <c:v>22906.450242040937</c:v>
                </c:pt>
                <c:pt idx="474">
                  <c:v>23181.327644945428</c:v>
                </c:pt>
                <c:pt idx="475">
                  <c:v>23459.503576684772</c:v>
                </c:pt>
                <c:pt idx="476">
                  <c:v>23224.908540917924</c:v>
                </c:pt>
                <c:pt idx="477">
                  <c:v>23503.607443408939</c:v>
                </c:pt>
                <c:pt idx="478">
                  <c:v>23268.571368974848</c:v>
                </c:pt>
                <c:pt idx="479">
                  <c:v>23547.794225402547</c:v>
                </c:pt>
                <c:pt idx="480">
                  <c:v>23830.367756107378</c:v>
                </c:pt>
                <c:pt idx="481">
                  <c:v>24116.332169180667</c:v>
                </c:pt>
                <c:pt idx="482">
                  <c:v>24405.728155210836</c:v>
                </c:pt>
                <c:pt idx="483">
                  <c:v>24161.670873658728</c:v>
                </c:pt>
                <c:pt idx="484">
                  <c:v>23920.054164922141</c:v>
                </c:pt>
                <c:pt idx="485">
                  <c:v>24207.094814901207</c:v>
                </c:pt>
                <c:pt idx="486">
                  <c:v>24497.579952680022</c:v>
                </c:pt>
                <c:pt idx="487">
                  <c:v>24791.550912112183</c:v>
                </c:pt>
                <c:pt idx="488">
                  <c:v>24543.635402991062</c:v>
                </c:pt>
                <c:pt idx="489">
                  <c:v>24838.159027826954</c:v>
                </c:pt>
                <c:pt idx="490">
                  <c:v>24589.777437548684</c:v>
                </c:pt>
                <c:pt idx="491">
                  <c:v>24884.854766799268</c:v>
                </c:pt>
                <c:pt idx="492">
                  <c:v>24636.006219131275</c:v>
                </c:pt>
                <c:pt idx="493">
                  <c:v>24389.646156939962</c:v>
                </c:pt>
                <c:pt idx="494">
                  <c:v>24145.749695370563</c:v>
                </c:pt>
                <c:pt idx="495">
                  <c:v>23904.292198416857</c:v>
                </c:pt>
                <c:pt idx="496">
                  <c:v>24191.143704797858</c:v>
                </c:pt>
                <c:pt idx="497">
                  <c:v>23949.232267749878</c:v>
                </c:pt>
                <c:pt idx="498">
                  <c:v>24236.623054962878</c:v>
                </c:pt>
                <c:pt idx="499">
                  <c:v>24527.462531622434</c:v>
                </c:pt>
              </c:numCache>
            </c:numRef>
          </c:val>
          <c:smooth val="0"/>
          <c:extLst>
            <c:ext xmlns:c16="http://schemas.microsoft.com/office/drawing/2014/chart" uri="{C3380CC4-5D6E-409C-BE32-E72D297353CC}">
              <c16:uniqueId val="{00000000-5536-4F5A-A373-0B036B64C2EB}"/>
            </c:ext>
          </c:extLst>
        </c:ser>
        <c:dLbls>
          <c:showLegendKey val="0"/>
          <c:showVal val="0"/>
          <c:showCatName val="0"/>
          <c:showSerName val="0"/>
          <c:showPercent val="0"/>
          <c:showBubbleSize val="0"/>
        </c:dLbls>
        <c:smooth val="0"/>
        <c:axId val="166443264"/>
        <c:axId val="166449152"/>
      </c:lineChart>
      <c:catAx>
        <c:axId val="166443264"/>
        <c:scaling>
          <c:orientation val="minMax"/>
        </c:scaling>
        <c:delete val="0"/>
        <c:axPos val="b"/>
        <c:majorTickMark val="out"/>
        <c:minorTickMark val="none"/>
        <c:tickLblPos val="nextTo"/>
        <c:spPr>
          <a:ln w="3175">
            <a:solidFill>
              <a:schemeClr val="accent6">
                <a:lumMod val="75000"/>
              </a:schemeClr>
            </a:solidFill>
          </a:ln>
        </c:spPr>
        <c:txPr>
          <a:bodyPr rot="0"/>
          <a:lstStyle/>
          <a:p>
            <a:pPr>
              <a:defRPr/>
            </a:pPr>
            <a:endParaRPr lang="en-US"/>
          </a:p>
        </c:txPr>
        <c:crossAx val="166449152"/>
        <c:crosses val="autoZero"/>
        <c:auto val="1"/>
        <c:lblAlgn val="ctr"/>
        <c:lblOffset val="0"/>
        <c:tickLblSkip val="50"/>
        <c:noMultiLvlLbl val="0"/>
      </c:catAx>
      <c:valAx>
        <c:axId val="166449152"/>
        <c:scaling>
          <c:orientation val="minMax"/>
        </c:scaling>
        <c:delete val="0"/>
        <c:axPos val="l"/>
        <c:majorGridlines/>
        <c:numFmt formatCode="&quot;£&quot;#,##0" sourceLinked="0"/>
        <c:majorTickMark val="out"/>
        <c:minorTickMark val="none"/>
        <c:tickLblPos val="nextTo"/>
        <c:spPr>
          <a:ln w="3175">
            <a:solidFill>
              <a:schemeClr val="accent6">
                <a:lumMod val="75000"/>
              </a:schemeClr>
            </a:solidFill>
          </a:ln>
        </c:spPr>
        <c:txPr>
          <a:bodyPr/>
          <a:lstStyle/>
          <a:p>
            <a:pPr>
              <a:defRPr sz="1100">
                <a:solidFill>
                  <a:schemeClr val="bg1"/>
                </a:solidFill>
              </a:defRPr>
            </a:pPr>
            <a:endParaRPr lang="en-US"/>
          </a:p>
        </c:txPr>
        <c:crossAx val="166443264"/>
        <c:crosses val="autoZero"/>
        <c:crossBetween val="midCat"/>
      </c:valAx>
      <c:spPr>
        <a:blipFill dpi="0" rotWithShape="1">
          <a:blip xmlns:r="http://schemas.openxmlformats.org/officeDocument/2006/relationships" r:embed="rId1">
            <a:alphaModFix amt="15000"/>
          </a:blip>
          <a:srcRect/>
          <a:stretch>
            <a:fillRect/>
          </a:stretch>
        </a:blipFill>
        <a:ln w="19050">
          <a:noFill/>
          <a:miter lim="800000"/>
        </a:ln>
        <a:effectLst/>
      </c:spPr>
    </c:plotArea>
    <c:plotVisOnly val="1"/>
    <c:dispBlanksAs val="gap"/>
    <c:showDLblsOverMax val="0"/>
  </c:chart>
  <c:spPr>
    <a:solidFill>
      <a:schemeClr val="tx1"/>
    </a:solidFill>
    <a:ln w="19050">
      <a:solidFill>
        <a:srgbClr val="D5AC3A"/>
      </a:solidFill>
      <a:bevel/>
    </a:ln>
    <a:effectLst>
      <a:outerShdw dist="35560" dir="2700000" algn="ctr" rotWithShape="0">
        <a:sysClr val="windowText" lastClr="000000"/>
      </a:outerShdw>
    </a:effectLst>
  </c:spPr>
  <c:txPr>
    <a:bodyPr/>
    <a:lstStyle/>
    <a:p>
      <a:pPr>
        <a:defRPr>
          <a:latin typeface="+mn-lt"/>
        </a:defRPr>
      </a:pPr>
      <a:endParaRPr lang="en-US"/>
    </a:p>
  </c:txPr>
  <c:printSettings>
    <c:headerFooter alignWithMargins="0"/>
    <c:pageMargins b="1" l="0.75000000000001465" r="0.75000000000001465" t="1" header="0.5" footer="0.5"/>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34681790781517E-2"/>
          <c:y val="6.6100348107133972E-2"/>
          <c:w val="0.91525341247237946"/>
          <c:h val="0.86402954011250788"/>
        </c:manualLayout>
      </c:layout>
      <c:barChart>
        <c:barDir val="bar"/>
        <c:grouping val="clustered"/>
        <c:varyColors val="0"/>
        <c:ser>
          <c:idx val="0"/>
          <c:order val="0"/>
          <c:tx>
            <c:v>wins in a row</c:v>
          </c:tx>
          <c:spPr>
            <a:gradFill rotWithShape="0">
              <a:gsLst>
                <a:gs pos="0">
                  <a:srgbClr val="0000FF">
                    <a:gamma/>
                    <a:shade val="46275"/>
                    <a:invGamma/>
                  </a:srgbClr>
                </a:gs>
                <a:gs pos="50000">
                  <a:srgbClr val="0000FF"/>
                </a:gs>
                <a:gs pos="100000">
                  <a:srgbClr val="0000FF">
                    <a:gamma/>
                    <a:shade val="46275"/>
                    <a:invGamma/>
                  </a:srgbClr>
                </a:gs>
              </a:gsLst>
              <a:lin ang="5400000" scaled="1"/>
            </a:gradFill>
            <a:ln w="25400">
              <a:noFill/>
            </a:ln>
          </c:spPr>
          <c:invertIfNegative val="0"/>
          <c:dLbls>
            <c:dLbl>
              <c:idx val="0"/>
              <c:layout>
                <c:manualLayout>
                  <c:x val="-1.539381733588807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7B-4DB0-818F-7CADACA0ED64}"/>
                </c:ext>
              </c:extLst>
            </c:dLbl>
            <c:dLbl>
              <c:idx val="1"/>
              <c:layout>
                <c:manualLayout>
                  <c:x val="-1.657794995874183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7B-4DB0-818F-7CADACA0ED64}"/>
                </c:ext>
              </c:extLst>
            </c:dLbl>
            <c:dLbl>
              <c:idx val="2"/>
              <c:layout>
                <c:manualLayout>
                  <c:x val="-1.657794995874183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7B-4DB0-818F-7CADACA0ED64}"/>
                </c:ext>
              </c:extLst>
            </c:dLbl>
            <c:dLbl>
              <c:idx val="3"/>
              <c:layout>
                <c:manualLayout>
                  <c:x val="-1.77620825815955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7B-4DB0-818F-7CADACA0ED64}"/>
                </c:ext>
              </c:extLst>
            </c:dLbl>
            <c:dLbl>
              <c:idx val="4"/>
              <c:layout>
                <c:manualLayout>
                  <c:x val="-1.539381733588807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7B-4DB0-818F-7CADACA0ED64}"/>
                </c:ext>
              </c:extLst>
            </c:dLbl>
            <c:dLbl>
              <c:idx val="5"/>
              <c:layout>
                <c:manualLayout>
                  <c:x val="-1.539381733588807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7B-4DB0-818F-7CADACA0ED64}"/>
                </c:ext>
              </c:extLst>
            </c:dLbl>
            <c:dLbl>
              <c:idx val="6"/>
              <c:layout>
                <c:manualLayout>
                  <c:x val="-1.539381733588807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47B-4DB0-818F-7CADACA0ED64}"/>
                </c:ext>
              </c:extLst>
            </c:dLbl>
            <c:dLbl>
              <c:idx val="7"/>
              <c:layout>
                <c:manualLayout>
                  <c:x val="-1.657794995874183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47B-4DB0-818F-7CADACA0ED64}"/>
                </c:ext>
              </c:extLst>
            </c:dLbl>
            <c:dLbl>
              <c:idx val="8"/>
              <c:layout>
                <c:manualLayout>
                  <c:x val="-1.539381733588807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47B-4DB0-818F-7CADACA0ED64}"/>
                </c:ext>
              </c:extLst>
            </c:dLbl>
            <c:dLbl>
              <c:idx val="9"/>
              <c:layout>
                <c:manualLayout>
                  <c:x val="-1.5393817335888077E-2"/>
                  <c:y val="8.047461456985347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47B-4DB0-818F-7CADACA0ED64}"/>
                </c:ext>
              </c:extLst>
            </c:dLbl>
            <c:dLbl>
              <c:idx val="10"/>
              <c:layout>
                <c:manualLayout>
                  <c:x val="-1.7762082581595597E-2"/>
                  <c:y val="-1.09739378481084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47B-4DB0-818F-7CADACA0ED64}"/>
                </c:ext>
              </c:extLst>
            </c:dLbl>
            <c:dLbl>
              <c:idx val="11"/>
              <c:layout>
                <c:manualLayout>
                  <c:x val="-1.6689090595469528E-2"/>
                  <c:y val="-1.09739378481092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47B-4DB0-818F-7CADACA0ED64}"/>
                </c:ext>
              </c:extLst>
            </c:dLbl>
            <c:dLbl>
              <c:idx val="12"/>
              <c:layout>
                <c:manualLayout>
                  <c:x val="-1.549011467400355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47B-4DB0-818F-7CADACA0ED64}"/>
                </c:ext>
              </c:extLst>
            </c:dLbl>
            <c:dLbl>
              <c:idx val="13"/>
              <c:layout>
                <c:manualLayout>
                  <c:x val="-1.55049579726157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47B-4DB0-818F-7CADACA0ED64}"/>
                </c:ext>
              </c:extLst>
            </c:dLbl>
            <c:dLbl>
              <c:idx val="14"/>
              <c:layout>
                <c:manualLayout>
                  <c:x val="-1.66816314923334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47B-4DB0-818F-7CADACA0ED64}"/>
                </c:ext>
              </c:extLst>
            </c:dLbl>
            <c:dLbl>
              <c:idx val="15"/>
              <c:layout>
                <c:manualLayout>
                  <c:x val="-1.6681631492333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47B-4DB0-818F-7CADACA0ED64}"/>
                </c:ext>
              </c:extLst>
            </c:dLbl>
            <c:dLbl>
              <c:idx val="16"/>
              <c:layout>
                <c:manualLayout>
                  <c:x val="-1.5015375088837756E-2"/>
                  <c:y val="4.023730728492673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47B-4DB0-818F-7CADACA0ED64}"/>
                </c:ext>
              </c:extLst>
            </c:dLbl>
            <c:dLbl>
              <c:idx val="17"/>
              <c:layout>
                <c:manualLayout>
                  <c:x val="-1.6681654739538254E-2"/>
                  <c:y val="-8.640895943393144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47B-4DB0-818F-7CADACA0ED64}"/>
                </c:ext>
              </c:extLst>
            </c:dLbl>
            <c:dLbl>
              <c:idx val="18"/>
              <c:layout>
                <c:manualLayout>
                  <c:x val="-1.5497498869479681E-2"/>
                  <c:y val="-1.09739378481088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47B-4DB0-818F-7CADACA0ED64}"/>
                </c:ext>
              </c:extLst>
            </c:dLbl>
            <c:dLbl>
              <c:idx val="19"/>
              <c:layout>
                <c:manualLayout>
                  <c:x val="-1.486431425201512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47B-4DB0-818F-7CADACA0ED64}"/>
                </c:ext>
              </c:extLst>
            </c:dLbl>
            <c:dLbl>
              <c:idx val="20"/>
              <c:layout>
                <c:manualLayout>
                  <c:x val="-1.96008340780458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47B-4DB0-818F-7CADACA0ED64}"/>
                </c:ext>
              </c:extLst>
            </c:dLbl>
            <c:dLbl>
              <c:idx val="21"/>
              <c:layout>
                <c:manualLayout>
                  <c:x val="-2.31532426119914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47B-4DB0-818F-7CADACA0ED64}"/>
                </c:ext>
              </c:extLst>
            </c:dLbl>
            <c:dLbl>
              <c:idx val="22"/>
              <c:layout>
                <c:manualLayout>
                  <c:x val="-2.3719108823652815E-2"/>
                  <c:y val="-8.2342655125739703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47B-4DB0-818F-7CADACA0ED64}"/>
                </c:ext>
              </c:extLst>
            </c:dLbl>
            <c:dLbl>
              <c:idx val="23"/>
              <c:layout>
                <c:manualLayout>
                  <c:x val="-2.60872808305711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47B-4DB0-818F-7CADACA0ED64}"/>
                </c:ext>
              </c:extLst>
            </c:dLbl>
            <c:dLbl>
              <c:idx val="24"/>
              <c:layout>
                <c:manualLayout>
                  <c:x val="-2.60810668118760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47B-4DB0-818F-7CADACA0ED64}"/>
                </c:ext>
              </c:extLst>
            </c:dLbl>
            <c:spPr>
              <a:noFill/>
              <a:ln w="25400">
                <a:noFill/>
              </a:ln>
            </c:spPr>
            <c:txPr>
              <a:bodyPr/>
              <a:lstStyle/>
              <a:p>
                <a:pPr>
                  <a:defRPr sz="1000" b="1">
                    <a:solidFill>
                      <a:schemeClr val="tx1"/>
                    </a:solidFill>
                    <a:latin typeface="Arial" pitchFamily="34" charset="0"/>
                    <a:cs typeface="Arial"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'RandomORG Trading Simulator'!$P$24:$P$48</c:f>
              <c:numCache>
                <c:formatCode>General</c:formatCode>
                <c:ptCount val="25"/>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numCache>
            </c:numRef>
          </c:cat>
          <c:val>
            <c:numRef>
              <c:f>'RandomORG Trading Simulator'!$Q$24:$Q$48</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1</c:v>
                </c:pt>
                <c:pt idx="18">
                  <c:v>3</c:v>
                </c:pt>
                <c:pt idx="19">
                  <c:v>1</c:v>
                </c:pt>
                <c:pt idx="20">
                  <c:v>3</c:v>
                </c:pt>
                <c:pt idx="21">
                  <c:v>9</c:v>
                </c:pt>
                <c:pt idx="22">
                  <c:v>20</c:v>
                </c:pt>
                <c:pt idx="23">
                  <c:v>27</c:v>
                </c:pt>
                <c:pt idx="24">
                  <c:v>58</c:v>
                </c:pt>
              </c:numCache>
            </c:numRef>
          </c:val>
          <c:extLst>
            <c:ext xmlns:c16="http://schemas.microsoft.com/office/drawing/2014/chart" uri="{C3380CC4-5D6E-409C-BE32-E72D297353CC}">
              <c16:uniqueId val="{00000019-D47B-4DB0-818F-7CADACA0ED64}"/>
            </c:ext>
          </c:extLst>
        </c:ser>
        <c:ser>
          <c:idx val="1"/>
          <c:order val="1"/>
          <c:tx>
            <c:v>losses in a row</c:v>
          </c:tx>
          <c:spPr>
            <a:gradFill rotWithShape="0">
              <a:gsLst>
                <a:gs pos="0">
                  <a:srgbClr val="FF0000">
                    <a:gamma/>
                    <a:shade val="46275"/>
                    <a:invGamma/>
                  </a:srgbClr>
                </a:gs>
                <a:gs pos="50000">
                  <a:srgbClr val="FF0000"/>
                </a:gs>
                <a:gs pos="100000">
                  <a:srgbClr val="FF0000">
                    <a:gamma/>
                    <a:shade val="46275"/>
                    <a:invGamma/>
                  </a:srgbClr>
                </a:gs>
              </a:gsLst>
              <a:lin ang="5400000" scaled="1"/>
            </a:gradFill>
            <a:ln w="25400">
              <a:noFill/>
            </a:ln>
          </c:spPr>
          <c:invertIfNegative val="0"/>
          <c:dLbls>
            <c:dLbl>
              <c:idx val="0"/>
              <c:layout>
                <c:manualLayout>
                  <c:x val="-1.77916392777723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47B-4DB0-818F-7CADACA0ED64}"/>
                </c:ext>
              </c:extLst>
            </c:dLbl>
            <c:dLbl>
              <c:idx val="1"/>
              <c:layout>
                <c:manualLayout>
                  <c:x val="-4.76616026213881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47B-4DB0-818F-7CADACA0ED64}"/>
                </c:ext>
              </c:extLst>
            </c:dLbl>
            <c:dLbl>
              <c:idx val="2"/>
              <c:layout>
                <c:manualLayout>
                  <c:x val="-4.76616026213881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47B-4DB0-818F-7CADACA0ED64}"/>
                </c:ext>
              </c:extLst>
            </c:dLbl>
            <c:dLbl>
              <c:idx val="3"/>
              <c:layout>
                <c:manualLayout>
                  <c:x val="-4.76616026213881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D47B-4DB0-818F-7CADACA0ED64}"/>
                </c:ext>
              </c:extLst>
            </c:dLbl>
            <c:dLbl>
              <c:idx val="4"/>
              <c:layout>
                <c:manualLayout>
                  <c:x val="-4.76616026213881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D47B-4DB0-818F-7CADACA0ED64}"/>
                </c:ext>
              </c:extLst>
            </c:dLbl>
            <c:dLbl>
              <c:idx val="5"/>
              <c:layout>
                <c:manualLayout>
                  <c:x val="-4.76616026213881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D47B-4DB0-818F-7CADACA0ED64}"/>
                </c:ext>
              </c:extLst>
            </c:dLbl>
            <c:dLbl>
              <c:idx val="6"/>
              <c:layout>
                <c:manualLayout>
                  <c:x val="-4.76616026213881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D47B-4DB0-818F-7CADACA0ED64}"/>
                </c:ext>
              </c:extLst>
            </c:dLbl>
            <c:dLbl>
              <c:idx val="7"/>
              <c:layout>
                <c:manualLayout>
                  <c:x val="-4.76616026213881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D47B-4DB0-818F-7CADACA0ED64}"/>
                </c:ext>
              </c:extLst>
            </c:dLbl>
            <c:dLbl>
              <c:idx val="8"/>
              <c:layout>
                <c:manualLayout>
                  <c:x val="-4.76616026213881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D47B-4DB0-818F-7CADACA0ED64}"/>
                </c:ext>
              </c:extLst>
            </c:dLbl>
            <c:dLbl>
              <c:idx val="9"/>
              <c:layout>
                <c:manualLayout>
                  <c:x val="-4.76616026213881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47B-4DB0-818F-7CADACA0ED64}"/>
                </c:ext>
              </c:extLst>
            </c:dLbl>
            <c:dLbl>
              <c:idx val="10"/>
              <c:layout>
                <c:manualLayout>
                  <c:x val="-4.76616026213881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47B-4DB0-818F-7CADACA0ED64}"/>
                </c:ext>
              </c:extLst>
            </c:dLbl>
            <c:dLbl>
              <c:idx val="11"/>
              <c:layout>
                <c:manualLayout>
                  <c:x val="-4.76616026213881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47B-4DB0-818F-7CADACA0ED64}"/>
                </c:ext>
              </c:extLst>
            </c:dLbl>
            <c:dLbl>
              <c:idx val="12"/>
              <c:layout>
                <c:manualLayout>
                  <c:x val="-1.660750665491857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47B-4DB0-818F-7CADACA0ED64}"/>
                </c:ext>
              </c:extLst>
            </c:dLbl>
            <c:dLbl>
              <c:idx val="13"/>
              <c:layout>
                <c:manualLayout>
                  <c:x val="-4.76616026213881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47B-4DB0-818F-7CADACA0ED64}"/>
                </c:ext>
              </c:extLst>
            </c:dLbl>
            <c:dLbl>
              <c:idx val="14"/>
              <c:layout>
                <c:manualLayout>
                  <c:x val="-1.62068213323200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47B-4DB0-818F-7CADACA0ED64}"/>
                </c:ext>
              </c:extLst>
            </c:dLbl>
            <c:dLbl>
              <c:idx val="15"/>
              <c:layout>
                <c:manualLayout>
                  <c:x val="-1.549002085195114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D47B-4DB0-818F-7CADACA0ED64}"/>
                </c:ext>
              </c:extLst>
            </c:dLbl>
            <c:dLbl>
              <c:idx val="16"/>
              <c:layout>
                <c:manualLayout>
                  <c:x val="-1.542337403206482E-2"/>
                  <c:y val="4.023730728492673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47B-4DB0-818F-7CADACA0ED64}"/>
                </c:ext>
              </c:extLst>
            </c:dLbl>
            <c:dLbl>
              <c:idx val="17"/>
              <c:layout>
                <c:manualLayout>
                  <c:x val="-1.7865670876397999E-2"/>
                  <c:y val="4.023730728492673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47B-4DB0-818F-7CADACA0ED64}"/>
                </c:ext>
              </c:extLst>
            </c:dLbl>
            <c:dLbl>
              <c:idx val="18"/>
              <c:layout>
                <c:manualLayout>
                  <c:x val="-1.502272695486776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47B-4DB0-818F-7CADACA0ED64}"/>
                </c:ext>
              </c:extLst>
            </c:dLbl>
            <c:dLbl>
              <c:idx val="19"/>
              <c:layout>
                <c:manualLayout>
                  <c:x val="-1.62068213323200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D47B-4DB0-818F-7CADACA0ED64}"/>
                </c:ext>
              </c:extLst>
            </c:dLbl>
            <c:dLbl>
              <c:idx val="20"/>
              <c:layout>
                <c:manualLayout>
                  <c:x val="-1.486440749080432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D47B-4DB0-818F-7CADACA0ED64}"/>
                </c:ext>
              </c:extLst>
            </c:dLbl>
            <c:dLbl>
              <c:idx val="21"/>
              <c:layout>
                <c:manualLayout>
                  <c:x val="-2.194924184190585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D47B-4DB0-818F-7CADACA0ED64}"/>
                </c:ext>
              </c:extLst>
            </c:dLbl>
            <c:dLbl>
              <c:idx val="22"/>
              <c:layout>
                <c:manualLayout>
                  <c:x val="-2.49031873696753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D47B-4DB0-818F-7CADACA0ED64}"/>
                </c:ext>
              </c:extLst>
            </c:dLbl>
            <c:dLbl>
              <c:idx val="23"/>
              <c:layout>
                <c:manualLayout>
                  <c:x val="-2.60958720558748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D47B-4DB0-818F-7CADACA0ED64}"/>
                </c:ext>
              </c:extLst>
            </c:dLbl>
            <c:dLbl>
              <c:idx val="24"/>
              <c:layout>
                <c:manualLayout>
                  <c:x val="-2.49031873696753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D47B-4DB0-818F-7CADACA0ED64}"/>
                </c:ext>
              </c:extLst>
            </c:dLbl>
            <c:spPr>
              <a:noFill/>
              <a:ln w="25400">
                <a:noFill/>
              </a:ln>
            </c:spPr>
            <c:txPr>
              <a:bodyPr/>
              <a:lstStyle/>
              <a:p>
                <a:pPr>
                  <a:defRPr sz="1000" b="1">
                    <a:solidFill>
                      <a:schemeClr val="tx1"/>
                    </a:solidFill>
                    <a:latin typeface="Arial" pitchFamily="34" charset="0"/>
                    <a:cs typeface="Arial"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'RandomORG Trading Simulator'!$P$24:$P$48</c:f>
              <c:numCache>
                <c:formatCode>General</c:formatCode>
                <c:ptCount val="25"/>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numCache>
            </c:numRef>
          </c:cat>
          <c:val>
            <c:numRef>
              <c:f>'RandomORG Trading Simulator'!$R$24:$R$48</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4</c:v>
                </c:pt>
                <c:pt idx="21">
                  <c:v>10</c:v>
                </c:pt>
                <c:pt idx="22">
                  <c:v>15</c:v>
                </c:pt>
                <c:pt idx="23">
                  <c:v>25</c:v>
                </c:pt>
                <c:pt idx="24">
                  <c:v>68</c:v>
                </c:pt>
              </c:numCache>
            </c:numRef>
          </c:val>
          <c:extLst>
            <c:ext xmlns:c16="http://schemas.microsoft.com/office/drawing/2014/chart" uri="{C3380CC4-5D6E-409C-BE32-E72D297353CC}">
              <c16:uniqueId val="{00000033-D47B-4DB0-818F-7CADACA0ED64}"/>
            </c:ext>
          </c:extLst>
        </c:ser>
        <c:dLbls>
          <c:showLegendKey val="0"/>
          <c:showVal val="0"/>
          <c:showCatName val="0"/>
          <c:showSerName val="0"/>
          <c:showPercent val="0"/>
          <c:showBubbleSize val="0"/>
        </c:dLbls>
        <c:gapWidth val="0"/>
        <c:axId val="178458624"/>
        <c:axId val="178460160"/>
      </c:barChart>
      <c:scatterChart>
        <c:scatterStyle val="lineMarker"/>
        <c:varyColors val="0"/>
        <c:ser>
          <c:idx val="2"/>
          <c:order val="2"/>
          <c:tx>
            <c:v>win percentage</c:v>
          </c:tx>
          <c:spPr>
            <a:ln w="28575">
              <a:noFill/>
            </a:ln>
          </c:spPr>
          <c:marker>
            <c:symbol val="none"/>
          </c:marker>
          <c:dLbls>
            <c:dLbl>
              <c:idx val="0"/>
              <c:layout>
                <c:manualLayout>
                  <c:x val="-5.9012694461149729E-3"/>
                  <c:y val="1.6720133650465735E-4"/>
                </c:manualLayout>
              </c:layout>
              <c:tx>
                <c:strRef>
                  <c:f>'RandomORG Trading Simulator'!$T$24</c:f>
                  <c:strCache>
                    <c:ptCount val="1"/>
                  </c:strCache>
                </c:strRef>
              </c:tx>
              <c:spPr>
                <a:noFill/>
                <a:ln>
                  <a:noFill/>
                </a:ln>
              </c:spPr>
              <c:txPr>
                <a:bodyPr/>
                <a:lstStyle/>
                <a:p>
                  <a:pPr>
                    <a:defRPr/>
                  </a:pPr>
                  <a:endParaRPr lang="en-US"/>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{A12A445C-3F38-4490-8AC5-8B485E04DC7C}</c15:txfldGUID>
                      <c15:f>'RandomORG Trading Simulator'!$T$24</c15:f>
                      <c15:dlblFieldTableCache>
                        <c:ptCount val="1"/>
                      </c15:dlblFieldTableCache>
                    </c15:dlblFTEntry>
                  </c15:dlblFieldTable>
                  <c15:showDataLabelsRange val="0"/>
                </c:ext>
                <c:ext xmlns:c16="http://schemas.microsoft.com/office/drawing/2014/chart" uri="{C3380CC4-5D6E-409C-BE32-E72D297353CC}">
                  <c16:uniqueId val="{00000034-D47B-4DB0-818F-7CADACA0ED64}"/>
                </c:ext>
              </c:extLst>
            </c:dLbl>
            <c:dLbl>
              <c:idx val="1"/>
              <c:layout>
                <c:manualLayout>
                  <c:x val="-4.7172300620504145E-3"/>
                  <c:y val="-2.0275862331172014E-3"/>
                </c:manualLayout>
              </c:layout>
              <c:tx>
                <c:strRef>
                  <c:f>'RandomORG Trading Simulator'!$T$25</c:f>
                  <c:strCache>
                    <c:ptCount val="1"/>
                  </c:strCache>
                </c:strRef>
              </c:tx>
              <c:spPr>
                <a:noFill/>
                <a:ln>
                  <a:noFill/>
                </a:ln>
              </c:spPr>
              <c:txPr>
                <a:bodyPr/>
                <a:lstStyle/>
                <a:p>
                  <a:pPr>
                    <a:defRPr/>
                  </a:pPr>
                  <a:endParaRPr lang="en-US"/>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{EA51E2F1-9847-45C4-8EB8-8CA8E93B55E1}</c15:txfldGUID>
                      <c15:f>'RandomORG Trading Simulator'!$T$25</c15:f>
                      <c15:dlblFieldTableCache>
                        <c:ptCount val="1"/>
                      </c15:dlblFieldTableCache>
                    </c15:dlblFTEntry>
                  </c15:dlblFieldTable>
                  <c15:showDataLabelsRange val="0"/>
                </c:ext>
                <c:ext xmlns:c16="http://schemas.microsoft.com/office/drawing/2014/chart" uri="{C3380CC4-5D6E-409C-BE32-E72D297353CC}">
                  <c16:uniqueId val="{00000035-D47B-4DB0-818F-7CADACA0ED64}"/>
                </c:ext>
              </c:extLst>
            </c:dLbl>
            <c:dLbl>
              <c:idx val="2"/>
              <c:layout>
                <c:manualLayout>
                  <c:x val="-5.9013626849041736E-3"/>
                  <c:y val="1.6720133650465735E-4"/>
                </c:manualLayout>
              </c:layout>
              <c:tx>
                <c:strRef>
                  <c:f>'RandomORG Trading Simulator'!$T$26</c:f>
                  <c:strCache>
                    <c:ptCount val="1"/>
                  </c:strCache>
                </c:strRef>
              </c:tx>
              <c:spPr>
                <a:noFill/>
                <a:ln>
                  <a:noFill/>
                </a:ln>
              </c:spPr>
              <c:txPr>
                <a:bodyPr/>
                <a:lstStyle/>
                <a:p>
                  <a:pPr>
                    <a:defRPr/>
                  </a:pPr>
                  <a:endParaRPr lang="en-US"/>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{C303A088-4CAA-4A98-B2C1-8544548551EE}</c15:txfldGUID>
                      <c15:f>'RandomORG Trading Simulator'!$T$26</c15:f>
                      <c15:dlblFieldTableCache>
                        <c:ptCount val="1"/>
                      </c15:dlblFieldTableCache>
                    </c15:dlblFTEntry>
                  </c15:dlblFieldTable>
                  <c15:showDataLabelsRange val="0"/>
                </c:ext>
                <c:ext xmlns:c16="http://schemas.microsoft.com/office/drawing/2014/chart" uri="{C3380CC4-5D6E-409C-BE32-E72D297353CC}">
                  <c16:uniqueId val="{00000036-D47B-4DB0-818F-7CADACA0ED64}"/>
                </c:ext>
              </c:extLst>
            </c:dLbl>
            <c:dLbl>
              <c:idx val="3"/>
              <c:layout>
                <c:manualLayout>
                  <c:x val="-3.5330042004074534E-3"/>
                  <c:y val="-2.0275862331172014E-3"/>
                </c:manualLayout>
              </c:layout>
              <c:tx>
                <c:strRef>
                  <c:f>'RandomORG Trading Simulator'!$T$27</c:f>
                  <c:strCache>
                    <c:ptCount val="1"/>
                  </c:strCache>
                </c:strRef>
              </c:tx>
              <c:spPr>
                <a:noFill/>
                <a:ln>
                  <a:noFill/>
                </a:ln>
              </c:spPr>
              <c:txPr>
                <a:bodyPr/>
                <a:lstStyle/>
                <a:p>
                  <a:pPr>
                    <a:defRPr/>
                  </a:pPr>
                  <a:endParaRPr lang="en-US"/>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{CD6CD789-F445-48A7-BA59-7EDAD6BE9205}</c15:txfldGUID>
                      <c15:f>'RandomORG Trading Simulator'!$T$27</c15:f>
                      <c15:dlblFieldTableCache>
                        <c:ptCount val="1"/>
                      </c15:dlblFieldTableCache>
                    </c15:dlblFTEntry>
                  </c15:dlblFieldTable>
                  <c15:showDataLabelsRange val="0"/>
                </c:ext>
                <c:ext xmlns:c16="http://schemas.microsoft.com/office/drawing/2014/chart" uri="{C3380CC4-5D6E-409C-BE32-E72D297353CC}">
                  <c16:uniqueId val="{00000037-D47B-4DB0-818F-7CADACA0ED64}"/>
                </c:ext>
              </c:extLst>
            </c:dLbl>
            <c:dLbl>
              <c:idx val="4"/>
              <c:layout>
                <c:manualLayout>
                  <c:x val="-5.9013626849041736E-3"/>
                  <c:y val="1.6720133650465735E-4"/>
                </c:manualLayout>
              </c:layout>
              <c:tx>
                <c:strRef>
                  <c:f>'RandomORG Trading Simulator'!$T$28</c:f>
                  <c:strCache>
                    <c:ptCount val="1"/>
                  </c:strCache>
                </c:strRef>
              </c:tx>
              <c:spPr>
                <a:noFill/>
                <a:ln>
                  <a:noFill/>
                </a:ln>
              </c:spPr>
              <c:txPr>
                <a:bodyPr/>
                <a:lstStyle/>
                <a:p>
                  <a:pPr>
                    <a:defRPr/>
                  </a:pPr>
                  <a:endParaRPr lang="en-US"/>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{111284EF-7111-4E76-8BFC-08F36A0E55A6}</c15:txfldGUID>
                      <c15:f>'RandomORG Trading Simulator'!$T$28</c15:f>
                      <c15:dlblFieldTableCache>
                        <c:ptCount val="1"/>
                      </c15:dlblFieldTableCache>
                    </c15:dlblFTEntry>
                  </c15:dlblFieldTable>
                  <c15:showDataLabelsRange val="0"/>
                </c:ext>
                <c:ext xmlns:c16="http://schemas.microsoft.com/office/drawing/2014/chart" uri="{C3380CC4-5D6E-409C-BE32-E72D297353CC}">
                  <c16:uniqueId val="{00000038-D47B-4DB0-818F-7CADACA0ED64}"/>
                </c:ext>
              </c:extLst>
            </c:dLbl>
            <c:dLbl>
              <c:idx val="5"/>
              <c:layout>
                <c:manualLayout>
                  <c:x val="-5.9012694461149729E-3"/>
                  <c:y val="1.6720133650465735E-4"/>
                </c:manualLayout>
              </c:layout>
              <c:tx>
                <c:strRef>
                  <c:f>'RandomORG Trading Simulator'!$T$29</c:f>
                  <c:strCache>
                    <c:ptCount val="1"/>
                  </c:strCache>
                </c:strRef>
              </c:tx>
              <c:spPr>
                <a:noFill/>
                <a:ln>
                  <a:noFill/>
                </a:ln>
              </c:spPr>
              <c:txPr>
                <a:bodyPr/>
                <a:lstStyle/>
                <a:p>
                  <a:pPr>
                    <a:defRPr/>
                  </a:pPr>
                  <a:endParaRPr lang="en-US"/>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{B4B1DB5C-41ED-4558-B5EC-C30FE253DAD6}</c15:txfldGUID>
                      <c15:f>'RandomORG Trading Simulator'!$T$29</c15:f>
                      <c15:dlblFieldTableCache>
                        <c:ptCount val="1"/>
                      </c15:dlblFieldTableCache>
                    </c15:dlblFTEntry>
                  </c15:dlblFieldTable>
                  <c15:showDataLabelsRange val="0"/>
                </c:ext>
                <c:ext xmlns:c16="http://schemas.microsoft.com/office/drawing/2014/chart" uri="{C3380CC4-5D6E-409C-BE32-E72D297353CC}">
                  <c16:uniqueId val="{00000039-D47B-4DB0-818F-7CADACA0ED64}"/>
                </c:ext>
              </c:extLst>
            </c:dLbl>
            <c:dLbl>
              <c:idx val="6"/>
              <c:layout>
                <c:manualLayout>
                  <c:x val="-5.9012694461149729E-3"/>
                  <c:y val="1.6711492754530391E-4"/>
                </c:manualLayout>
              </c:layout>
              <c:tx>
                <c:strRef>
                  <c:f>'RandomORG Trading Simulator'!$T$30</c:f>
                  <c:strCache>
                    <c:ptCount val="1"/>
                  </c:strCache>
                </c:strRef>
              </c:tx>
              <c:spPr>
                <a:noFill/>
                <a:ln>
                  <a:noFill/>
                </a:ln>
              </c:spPr>
              <c:txPr>
                <a:bodyPr/>
                <a:lstStyle/>
                <a:p>
                  <a:pPr>
                    <a:defRPr/>
                  </a:pPr>
                  <a:endParaRPr lang="en-US"/>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{49CE144E-C6C5-4CAC-9DEB-549DC74BE87E}</c15:txfldGUID>
                      <c15:f>'RandomORG Trading Simulator'!$T$30</c15:f>
                      <c15:dlblFieldTableCache>
                        <c:ptCount val="1"/>
                      </c15:dlblFieldTableCache>
                    </c15:dlblFTEntry>
                  </c15:dlblFieldTable>
                  <c15:showDataLabelsRange val="0"/>
                </c:ext>
                <c:ext xmlns:c16="http://schemas.microsoft.com/office/drawing/2014/chart" uri="{C3380CC4-5D6E-409C-BE32-E72D297353CC}">
                  <c16:uniqueId val="{0000003A-D47B-4DB0-818F-7CADACA0ED64}"/>
                </c:ext>
              </c:extLst>
            </c:dLbl>
            <c:dLbl>
              <c:idx val="7"/>
              <c:layout>
                <c:manualLayout>
                  <c:x val="-5.9012694461149729E-3"/>
                  <c:y val="1.6720133650465735E-4"/>
                </c:manualLayout>
              </c:layout>
              <c:tx>
                <c:strRef>
                  <c:f>'RandomORG Trading Simulator'!$T$31</c:f>
                  <c:strCache>
                    <c:ptCount val="1"/>
                  </c:strCache>
                </c:strRef>
              </c:tx>
              <c:spPr>
                <a:noFill/>
                <a:ln>
                  <a:noFill/>
                </a:ln>
              </c:spPr>
              <c:txPr>
                <a:bodyPr/>
                <a:lstStyle/>
                <a:p>
                  <a:pPr>
                    <a:defRPr/>
                  </a:pPr>
                  <a:endParaRPr lang="en-US"/>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{0B014804-B2EC-460B-A04F-AF15DF1307BF}</c15:txfldGUID>
                      <c15:f>'RandomORG Trading Simulator'!$T$31</c15:f>
                      <c15:dlblFieldTableCache>
                        <c:ptCount val="1"/>
                      </c15:dlblFieldTableCache>
                    </c15:dlblFTEntry>
                  </c15:dlblFieldTable>
                  <c15:showDataLabelsRange val="0"/>
                </c:ext>
                <c:ext xmlns:c16="http://schemas.microsoft.com/office/drawing/2014/chart" uri="{C3380CC4-5D6E-409C-BE32-E72D297353CC}">
                  <c16:uniqueId val="{0000003B-D47B-4DB0-818F-7CADACA0ED64}"/>
                </c:ext>
              </c:extLst>
            </c:dLbl>
            <c:dLbl>
              <c:idx val="8"/>
              <c:layout>
                <c:manualLayout>
                  <c:x val="-5.9012694461149729E-3"/>
                  <c:y val="1.6720133650465735E-4"/>
                </c:manualLayout>
              </c:layout>
              <c:tx>
                <c:strRef>
                  <c:f>'RandomORG Trading Simulator'!$T$32</c:f>
                  <c:strCache>
                    <c:ptCount val="1"/>
                  </c:strCache>
                </c:strRef>
              </c:tx>
              <c:spPr>
                <a:noFill/>
                <a:ln>
                  <a:noFill/>
                </a:ln>
              </c:spPr>
              <c:txPr>
                <a:bodyPr/>
                <a:lstStyle/>
                <a:p>
                  <a:pPr>
                    <a:defRPr/>
                  </a:pPr>
                  <a:endParaRPr lang="en-US"/>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{9AED1A2A-5FCE-4283-8013-E3C3B912A369}</c15:txfldGUID>
                      <c15:f>'RandomORG Trading Simulator'!$T$32</c15:f>
                      <c15:dlblFieldTableCache>
                        <c:ptCount val="1"/>
                      </c15:dlblFieldTableCache>
                    </c15:dlblFTEntry>
                  </c15:dlblFieldTable>
                  <c15:showDataLabelsRange val="0"/>
                </c:ext>
                <c:ext xmlns:c16="http://schemas.microsoft.com/office/drawing/2014/chart" uri="{C3380CC4-5D6E-409C-BE32-E72D297353CC}">
                  <c16:uniqueId val="{0000003C-D47B-4DB0-818F-7CADACA0ED64}"/>
                </c:ext>
              </c:extLst>
            </c:dLbl>
            <c:dLbl>
              <c:idx val="9"/>
              <c:layout>
                <c:manualLayout>
                  <c:x val="-5.9013626849041736E-3"/>
                  <c:y val="1.6720133650465735E-4"/>
                </c:manualLayout>
              </c:layout>
              <c:tx>
                <c:strRef>
                  <c:f>'RandomORG Trading Simulator'!$T$33</c:f>
                  <c:strCache>
                    <c:ptCount val="1"/>
                  </c:strCache>
                </c:strRef>
              </c:tx>
              <c:spPr>
                <a:noFill/>
                <a:ln>
                  <a:noFill/>
                </a:ln>
              </c:spPr>
              <c:txPr>
                <a:bodyPr/>
                <a:lstStyle/>
                <a:p>
                  <a:pPr>
                    <a:defRPr/>
                  </a:pPr>
                  <a:endParaRPr lang="en-US"/>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{3D711E3D-D696-45A6-898E-F884BB6D72E0}</c15:txfldGUID>
                      <c15:f>'RandomORG Trading Simulator'!$T$33</c15:f>
                      <c15:dlblFieldTableCache>
                        <c:ptCount val="1"/>
                      </c15:dlblFieldTableCache>
                    </c15:dlblFTEntry>
                  </c15:dlblFieldTable>
                  <c15:showDataLabelsRange val="0"/>
                </c:ext>
                <c:ext xmlns:c16="http://schemas.microsoft.com/office/drawing/2014/chart" uri="{C3380CC4-5D6E-409C-BE32-E72D297353CC}">
                  <c16:uniqueId val="{0000003D-D47B-4DB0-818F-7CADACA0ED64}"/>
                </c:ext>
              </c:extLst>
            </c:dLbl>
            <c:dLbl>
              <c:idx val="10"/>
              <c:layout>
                <c:manualLayout>
                  <c:x val="-5.9012694461149729E-3"/>
                  <c:y val="1.6694210962643602E-4"/>
                </c:manualLayout>
              </c:layout>
              <c:tx>
                <c:strRef>
                  <c:f>'RandomORG Trading Simulator'!$T$34</c:f>
                  <c:strCache>
                    <c:ptCount val="1"/>
                  </c:strCache>
                </c:strRef>
              </c:tx>
              <c:spPr>
                <a:noFill/>
                <a:ln>
                  <a:noFill/>
                </a:ln>
              </c:spPr>
              <c:txPr>
                <a:bodyPr/>
                <a:lstStyle/>
                <a:p>
                  <a:pPr>
                    <a:defRPr/>
                  </a:pPr>
                  <a:endParaRPr lang="en-US"/>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{3F4F7EEC-DF7F-4E4D-8060-5237A839B6FD}</c15:txfldGUID>
                      <c15:f>'RandomORG Trading Simulator'!$T$34</c15:f>
                      <c15:dlblFieldTableCache>
                        <c:ptCount val="1"/>
                      </c15:dlblFieldTableCache>
                    </c15:dlblFTEntry>
                  </c15:dlblFieldTable>
                  <c15:showDataLabelsRange val="0"/>
                </c:ext>
                <c:ext xmlns:c16="http://schemas.microsoft.com/office/drawing/2014/chart" uri="{C3380CC4-5D6E-409C-BE32-E72D297353CC}">
                  <c16:uniqueId val="{0000003E-D47B-4DB0-818F-7CADACA0ED64}"/>
                </c:ext>
              </c:extLst>
            </c:dLbl>
            <c:dLbl>
              <c:idx val="11"/>
              <c:layout>
                <c:manualLayout>
                  <c:x val="-5.8346996169714709E-3"/>
                  <c:y val="-9.3019244830627203E-4"/>
                </c:manualLayout>
              </c:layout>
              <c:tx>
                <c:strRef>
                  <c:f>'RandomORG Trading Simulator'!$T$35</c:f>
                  <c:strCache>
                    <c:ptCount val="1"/>
                  </c:strCache>
                </c:strRef>
              </c:tx>
              <c:spPr>
                <a:noFill/>
                <a:ln>
                  <a:noFill/>
                </a:ln>
              </c:spPr>
              <c:txPr>
                <a:bodyPr/>
                <a:lstStyle/>
                <a:p>
                  <a:pPr>
                    <a:defRPr/>
                  </a:pPr>
                  <a:endParaRPr lang="en-US"/>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{2B5F5484-B8AA-4A59-B79B-7E189C5455F0}</c15:txfldGUID>
                      <c15:f>'RandomORG Trading Simulator'!$T$35</c15:f>
                      <c15:dlblFieldTableCache>
                        <c:ptCount val="1"/>
                      </c15:dlblFieldTableCache>
                    </c15:dlblFTEntry>
                  </c15:dlblFieldTable>
                  <c15:showDataLabelsRange val="0"/>
                </c:ext>
                <c:ext xmlns:c16="http://schemas.microsoft.com/office/drawing/2014/chart" uri="{C3380CC4-5D6E-409C-BE32-E72D297353CC}">
                  <c16:uniqueId val="{0000003F-D47B-4DB0-818F-7CADACA0ED64}"/>
                </c:ext>
              </c:extLst>
            </c:dLbl>
            <c:dLbl>
              <c:idx val="12"/>
              <c:layout>
                <c:manualLayout>
                  <c:x val="-4.8134524925059321E-3"/>
                  <c:y val="1.6702851858578949E-4"/>
                </c:manualLayout>
              </c:layout>
              <c:tx>
                <c:strRef>
                  <c:f>'RandomORG Trading Simulator'!$T$36</c:f>
                  <c:strCache>
                    <c:ptCount val="1"/>
                  </c:strCache>
                </c:strRef>
              </c:tx>
              <c:spPr>
                <a:noFill/>
                <a:ln>
                  <a:noFill/>
                </a:ln>
              </c:spPr>
              <c:txPr>
                <a:bodyPr/>
                <a:lstStyle/>
                <a:p>
                  <a:pPr>
                    <a:defRPr/>
                  </a:pPr>
                  <a:endParaRPr lang="en-US"/>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{AD8E2B13-D95D-4F43-9BE4-65C87E3F789F}</c15:txfldGUID>
                      <c15:f>'RandomORG Trading Simulator'!$T$36</c15:f>
                      <c15:dlblFieldTableCache>
                        <c:ptCount val="1"/>
                      </c15:dlblFieldTableCache>
                    </c15:dlblFTEntry>
                  </c15:dlblFieldTable>
                  <c15:showDataLabelsRange val="0"/>
                </c:ext>
                <c:ext xmlns:c16="http://schemas.microsoft.com/office/drawing/2014/chart" uri="{C3380CC4-5D6E-409C-BE32-E72D297353CC}">
                  <c16:uniqueId val="{00000040-D47B-4DB0-818F-7CADACA0ED64}"/>
                </c:ext>
              </c:extLst>
            </c:dLbl>
            <c:dLbl>
              <c:idx val="13"/>
              <c:layout>
                <c:manualLayout>
                  <c:x val="-4.6431595514367678E-3"/>
                  <c:y val="1.6720133650465735E-4"/>
                </c:manualLayout>
              </c:layout>
              <c:tx>
                <c:strRef>
                  <c:f>'RandomORG Trading Simulator'!$T$37</c:f>
                  <c:strCache>
                    <c:ptCount val="1"/>
                  </c:strCache>
                </c:strRef>
              </c:tx>
              <c:spPr>
                <a:noFill/>
                <a:ln>
                  <a:noFill/>
                </a:ln>
              </c:spPr>
              <c:txPr>
                <a:bodyPr/>
                <a:lstStyle/>
                <a:p>
                  <a:pPr>
                    <a:defRPr/>
                  </a:pPr>
                  <a:endParaRPr lang="en-US"/>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{C3BA516C-2075-4390-977B-6555A76A58F2}</c15:txfldGUID>
                      <c15:f>'RandomORG Trading Simulator'!$T$37</c15:f>
                      <c15:dlblFieldTableCache>
                        <c:ptCount val="1"/>
                      </c15:dlblFieldTableCache>
                    </c15:dlblFTEntry>
                  </c15:dlblFieldTable>
                  <c15:showDataLabelsRange val="0"/>
                </c:ext>
                <c:ext xmlns:c16="http://schemas.microsoft.com/office/drawing/2014/chart" uri="{C3380CC4-5D6E-409C-BE32-E72D297353CC}">
                  <c16:uniqueId val="{00000041-D47B-4DB0-818F-7CADACA0ED64}"/>
                </c:ext>
              </c:extLst>
            </c:dLbl>
            <c:dLbl>
              <c:idx val="14"/>
              <c:layout>
                <c:manualLayout>
                  <c:x val="-4.8504682918187403E-3"/>
                  <c:y val="1.6720133650465735E-4"/>
                </c:manualLayout>
              </c:layout>
              <c:tx>
                <c:strRef>
                  <c:f>'RandomORG Trading Simulator'!$T$38</c:f>
                  <c:strCache>
                    <c:ptCount val="1"/>
                  </c:strCache>
                </c:strRef>
              </c:tx>
              <c:spPr>
                <a:noFill/>
                <a:ln>
                  <a:noFill/>
                </a:ln>
              </c:spPr>
              <c:txPr>
                <a:bodyPr/>
                <a:lstStyle/>
                <a:p>
                  <a:pPr>
                    <a:defRPr/>
                  </a:pPr>
                  <a:endParaRPr lang="en-US"/>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{B9095800-45DD-4286-97CB-E557AAB1E26C}</c15:txfldGUID>
                      <c15:f>'RandomORG Trading Simulator'!$T$38</c15:f>
                      <c15:dlblFieldTableCache>
                        <c:ptCount val="1"/>
                      </c15:dlblFieldTableCache>
                    </c15:dlblFTEntry>
                  </c15:dlblFieldTable>
                  <c15:showDataLabelsRange val="0"/>
                </c:ext>
                <c:ext xmlns:c16="http://schemas.microsoft.com/office/drawing/2014/chart" uri="{C3380CC4-5D6E-409C-BE32-E72D297353CC}">
                  <c16:uniqueId val="{00000042-D47B-4DB0-818F-7CADACA0ED64}"/>
                </c:ext>
              </c:extLst>
            </c:dLbl>
            <c:dLbl>
              <c:idx val="15"/>
              <c:layout>
                <c:manualLayout>
                  <c:x val="-3.6441448371351448E-3"/>
                  <c:y val="1.2645951213155868E-3"/>
                </c:manualLayout>
              </c:layout>
              <c:tx>
                <c:strRef>
                  <c:f>'RandomORG Trading Simulator'!$T$39</c:f>
                  <c:strCache>
                    <c:ptCount val="1"/>
                  </c:strCache>
                </c:strRef>
              </c:tx>
              <c:spPr>
                <a:noFill/>
                <a:ln>
                  <a:noFill/>
                </a:ln>
              </c:spPr>
              <c:txPr>
                <a:bodyPr/>
                <a:lstStyle/>
                <a:p>
                  <a:pPr>
                    <a:defRPr/>
                  </a:pPr>
                  <a:endParaRPr lang="en-US"/>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{EDA7233F-B033-4339-95D0-F2EFEAF9180F}</c15:txfldGUID>
                      <c15:f>'RandomORG Trading Simulator'!$T$39</c15:f>
                      <c15:dlblFieldTableCache>
                        <c:ptCount val="1"/>
                      </c15:dlblFieldTableCache>
                    </c15:dlblFTEntry>
                  </c15:dlblFieldTable>
                  <c15:showDataLabelsRange val="0"/>
                </c:ext>
                <c:ext xmlns:c16="http://schemas.microsoft.com/office/drawing/2014/chart" uri="{C3380CC4-5D6E-409C-BE32-E72D297353CC}">
                  <c16:uniqueId val="{00000043-D47B-4DB0-818F-7CADACA0ED64}"/>
                </c:ext>
              </c:extLst>
            </c:dLbl>
            <c:dLbl>
              <c:idx val="16"/>
              <c:layout>
                <c:manualLayout>
                  <c:x val="-5.8346996169714709E-3"/>
                  <c:y val="-9.3019244830623181E-4"/>
                </c:manualLayout>
              </c:layout>
              <c:tx>
                <c:strRef>
                  <c:f>'RandomORG Trading Simulator'!$T$40</c:f>
                  <c:strCache>
                    <c:ptCount val="1"/>
                    <c:pt idx="0">
                      <c:v>1.8%</c:v>
                    </c:pt>
                  </c:strCache>
                </c:strRef>
              </c:tx>
              <c:spPr>
                <a:noFill/>
                <a:ln>
                  <a:noFill/>
                </a:ln>
              </c:spPr>
              <c:txPr>
                <a:bodyPr/>
                <a:lstStyle/>
                <a:p>
                  <a:pPr>
                    <a:defRPr/>
                  </a:pPr>
                  <a:endParaRPr lang="en-US"/>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{680C9DE8-FF9D-4202-980A-1D3138F248F3}</c15:txfldGUID>
                      <c15:f>'RandomORG Trading Simulator'!$T$40</c15:f>
                      <c15:dlblFieldTableCache>
                        <c:ptCount val="1"/>
                        <c:pt idx="0">
                          <c:v>1.8%</c:v>
                        </c:pt>
                      </c15:dlblFieldTableCache>
                    </c15:dlblFTEntry>
                  </c15:dlblFieldTable>
                  <c15:showDataLabelsRange val="0"/>
                </c:ext>
                <c:ext xmlns:c16="http://schemas.microsoft.com/office/drawing/2014/chart" uri="{C3380CC4-5D6E-409C-BE32-E72D297353CC}">
                  <c16:uniqueId val="{00000044-D47B-4DB0-818F-7CADACA0ED64}"/>
                </c:ext>
              </c:extLst>
            </c:dLbl>
            <c:dLbl>
              <c:idx val="17"/>
              <c:layout>
                <c:manualLayout>
                  <c:x val="-5.8274243250677144E-3"/>
                  <c:y val="1.6720133650465735E-4"/>
                </c:manualLayout>
              </c:layout>
              <c:tx>
                <c:strRef>
                  <c:f>'RandomORG Trading Simulator'!$T$41</c:f>
                  <c:strCache>
                    <c:ptCount val="1"/>
                    <c:pt idx="0">
                      <c:v>1.6%</c:v>
                    </c:pt>
                  </c:strCache>
                </c:strRef>
              </c:tx>
              <c:spPr>
                <a:noFill/>
                <a:ln>
                  <a:noFill/>
                </a:ln>
              </c:spPr>
              <c:txPr>
                <a:bodyPr/>
                <a:lstStyle/>
                <a:p>
                  <a:pPr>
                    <a:defRPr/>
                  </a:pPr>
                  <a:endParaRPr lang="en-US"/>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{77B24324-DD0D-4BFC-9D79-84F196E2FA60}</c15:txfldGUID>
                      <c15:f>'RandomORG Trading Simulator'!$T$41</c15:f>
                      <c15:dlblFieldTableCache>
                        <c:ptCount val="1"/>
                        <c:pt idx="0">
                          <c:v>1.6%</c:v>
                        </c:pt>
                      </c15:dlblFieldTableCache>
                    </c15:dlblFTEntry>
                  </c15:dlblFieldTable>
                  <c15:showDataLabelsRange val="0"/>
                </c:ext>
                <c:ext xmlns:c16="http://schemas.microsoft.com/office/drawing/2014/chart" uri="{C3380CC4-5D6E-409C-BE32-E72D297353CC}">
                  <c16:uniqueId val="{00000045-D47B-4DB0-818F-7CADACA0ED64}"/>
                </c:ext>
              </c:extLst>
            </c:dLbl>
            <c:dLbl>
              <c:idx val="18"/>
              <c:layout>
                <c:manualLayout>
                  <c:x val="-5.834793439023875E-3"/>
                  <c:y val="1.6711492754522343E-4"/>
                </c:manualLayout>
              </c:layout>
              <c:tx>
                <c:strRef>
                  <c:f>'RandomORG Trading Simulator'!$T$42</c:f>
                  <c:strCache>
                    <c:ptCount val="1"/>
                    <c:pt idx="0">
                      <c:v>4.2%</c:v>
                    </c:pt>
                  </c:strCache>
                </c:strRef>
              </c:tx>
              <c:spPr>
                <a:noFill/>
                <a:ln>
                  <a:noFill/>
                </a:ln>
              </c:spPr>
              <c:txPr>
                <a:bodyPr/>
                <a:lstStyle/>
                <a:p>
                  <a:pPr>
                    <a:defRPr/>
                  </a:pPr>
                  <a:endParaRPr lang="en-US"/>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{003694B7-16CB-43BA-B93E-6BC08DFD86B3}</c15:txfldGUID>
                      <c15:f>'RandomORG Trading Simulator'!$T$42</c15:f>
                      <c15:dlblFieldTableCache>
                        <c:ptCount val="1"/>
                        <c:pt idx="0">
                          <c:v>4.2%</c:v>
                        </c:pt>
                      </c15:dlblFieldTableCache>
                    </c15:dlblFTEntry>
                  </c15:dlblFieldTable>
                  <c15:showDataLabelsRange val="0"/>
                </c:ext>
                <c:ext xmlns:c16="http://schemas.microsoft.com/office/drawing/2014/chart" uri="{C3380CC4-5D6E-409C-BE32-E72D297353CC}">
                  <c16:uniqueId val="{00000046-D47B-4DB0-818F-7CADACA0ED64}"/>
                </c:ext>
              </c:extLst>
            </c:dLbl>
            <c:dLbl>
              <c:idx val="19"/>
              <c:layout>
                <c:manualLayout>
                  <c:x val="-5.8420628149722844E-3"/>
                  <c:y val="1.6720133650465735E-4"/>
                </c:manualLayout>
              </c:layout>
              <c:tx>
                <c:strRef>
                  <c:f>'RandomORG Trading Simulator'!$T$43</c:f>
                  <c:strCache>
                    <c:ptCount val="1"/>
                    <c:pt idx="0">
                      <c:v>1.2%</c:v>
                    </c:pt>
                  </c:strCache>
                </c:strRef>
              </c:tx>
              <c:spPr>
                <a:noFill/>
                <a:ln>
                  <a:noFill/>
                </a:ln>
              </c:spPr>
              <c:txPr>
                <a:bodyPr/>
                <a:lstStyle/>
                <a:p>
                  <a:pPr>
                    <a:defRPr/>
                  </a:pPr>
                  <a:endParaRPr lang="en-US"/>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{C3470251-E820-4134-ABB0-CA649694C60B}</c15:txfldGUID>
                      <c15:f>'RandomORG Trading Simulator'!$T$43</c15:f>
                      <c15:dlblFieldTableCache>
                        <c:ptCount val="1"/>
                        <c:pt idx="0">
                          <c:v>1.2%</c:v>
                        </c:pt>
                      </c15:dlblFieldTableCache>
                    </c15:dlblFTEntry>
                  </c15:dlblFieldTable>
                  <c15:showDataLabelsRange val="0"/>
                </c:ext>
                <c:ext xmlns:c16="http://schemas.microsoft.com/office/drawing/2014/chart" uri="{C3380CC4-5D6E-409C-BE32-E72D297353CC}">
                  <c16:uniqueId val="{00000047-D47B-4DB0-818F-7CADACA0ED64}"/>
                </c:ext>
              </c:extLst>
            </c:dLbl>
            <c:dLbl>
              <c:idx val="20"/>
              <c:layout>
                <c:manualLayout>
                  <c:x val="-6.2052278989104936E-3"/>
                  <c:y val="1.6720133650465735E-4"/>
                </c:manualLayout>
              </c:layout>
              <c:tx>
                <c:strRef>
                  <c:f>'RandomORG Trading Simulator'!$T$44</c:f>
                  <c:strCache>
                    <c:ptCount val="1"/>
                    <c:pt idx="0">
                      <c:v>3.0%</c:v>
                    </c:pt>
                  </c:strCache>
                </c:strRef>
              </c:tx>
              <c:spPr>
                <a:noFill/>
                <a:ln>
                  <a:noFill/>
                </a:ln>
              </c:spPr>
              <c:txPr>
                <a:bodyPr/>
                <a:lstStyle/>
                <a:p>
                  <a:pPr>
                    <a:defRPr/>
                  </a:pPr>
                  <a:endParaRPr lang="en-US"/>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{E26E3B1E-FA72-4235-BAEB-00183C156368}</c15:txfldGUID>
                      <c15:f>'RandomORG Trading Simulator'!$T$44</c15:f>
                      <c15:dlblFieldTableCache>
                        <c:ptCount val="1"/>
                        <c:pt idx="0">
                          <c:v>3.0%</c:v>
                        </c:pt>
                      </c15:dlblFieldTableCache>
                    </c15:dlblFTEntry>
                  </c15:dlblFieldTable>
                  <c15:showDataLabelsRange val="0"/>
                </c:ext>
                <c:ext xmlns:c16="http://schemas.microsoft.com/office/drawing/2014/chart" uri="{C3380CC4-5D6E-409C-BE32-E72D297353CC}">
                  <c16:uniqueId val="{00000048-D47B-4DB0-818F-7CADACA0ED64}"/>
                </c:ext>
              </c:extLst>
            </c:dLbl>
            <c:dLbl>
              <c:idx val="21"/>
              <c:layout>
                <c:manualLayout>
                  <c:x val="-5.842156053761486E-3"/>
                  <c:y val="1.6720133650465735E-4"/>
                </c:manualLayout>
              </c:layout>
              <c:tx>
                <c:strRef>
                  <c:f>'RandomORG Trading Simulator'!$T$45</c:f>
                  <c:strCache>
                    <c:ptCount val="1"/>
                    <c:pt idx="0">
                      <c:v>7.2%</c:v>
                    </c:pt>
                  </c:strCache>
                </c:strRef>
              </c:tx>
              <c:spPr>
                <a:noFill/>
                <a:ln>
                  <a:noFill/>
                </a:ln>
              </c:spPr>
              <c:txPr>
                <a:bodyPr/>
                <a:lstStyle/>
                <a:p>
                  <a:pPr>
                    <a:defRPr/>
                  </a:pPr>
                  <a:endParaRPr lang="en-US"/>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{165D42B7-25BF-4138-BCD2-9F98C760D5E2}</c15:txfldGUID>
                      <c15:f>'RandomORG Trading Simulator'!$T$45</c15:f>
                      <c15:dlblFieldTableCache>
                        <c:ptCount val="1"/>
                        <c:pt idx="0">
                          <c:v>7.2%</c:v>
                        </c:pt>
                      </c15:dlblFieldTableCache>
                    </c15:dlblFTEntry>
                  </c15:dlblFieldTable>
                  <c15:showDataLabelsRange val="0"/>
                </c:ext>
                <c:ext xmlns:c16="http://schemas.microsoft.com/office/drawing/2014/chart" uri="{C3380CC4-5D6E-409C-BE32-E72D297353CC}">
                  <c16:uniqueId val="{00000049-D47B-4DB0-818F-7CADACA0ED64}"/>
                </c:ext>
              </c:extLst>
            </c:dLbl>
            <c:dLbl>
              <c:idx val="22"/>
              <c:layout>
                <c:manualLayout>
                  <c:x val="-7.0261954378260444E-3"/>
                  <c:y val="1.671149275452033E-4"/>
                </c:manualLayout>
              </c:layout>
              <c:tx>
                <c:strRef>
                  <c:f>'RandomORG Trading Simulator'!$T$46</c:f>
                  <c:strCache>
                    <c:ptCount val="1"/>
                    <c:pt idx="0">
                      <c:v>12.0%</c:v>
                    </c:pt>
                  </c:strCache>
                </c:strRef>
              </c:tx>
              <c:spPr>
                <a:noFill/>
                <a:ln>
                  <a:noFill/>
                </a:ln>
              </c:spPr>
              <c:txPr>
                <a:bodyPr/>
                <a:lstStyle/>
                <a:p>
                  <a:pPr>
                    <a:defRPr/>
                  </a:pPr>
                  <a:endParaRPr lang="en-US"/>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{F3A3B9BB-CD80-4960-95FD-18FB96440092}</c15:txfldGUID>
                      <c15:f>'RandomORG Trading Simulator'!$T$46</c15:f>
                      <c15:dlblFieldTableCache>
                        <c:ptCount val="1"/>
                        <c:pt idx="0">
                          <c:v>12.0%</c:v>
                        </c:pt>
                      </c15:dlblFieldTableCache>
                    </c15:dlblFTEntry>
                  </c15:dlblFieldTable>
                  <c15:showDataLabelsRange val="0"/>
                </c:ext>
                <c:ext xmlns:c16="http://schemas.microsoft.com/office/drawing/2014/chart" uri="{C3380CC4-5D6E-409C-BE32-E72D297353CC}">
                  <c16:uniqueId val="{0000004A-D47B-4DB0-818F-7CADACA0ED64}"/>
                </c:ext>
              </c:extLst>
            </c:dLbl>
            <c:dLbl>
              <c:idx val="23"/>
              <c:layout>
                <c:manualLayout>
                  <c:x val="-5.8420628149722844E-3"/>
                  <c:y val="1.6720133650465735E-4"/>
                </c:manualLayout>
              </c:layout>
              <c:tx>
                <c:strRef>
                  <c:f>'RandomORG Trading Simulator'!$T$47</c:f>
                  <c:strCache>
                    <c:ptCount val="1"/>
                    <c:pt idx="0">
                      <c:v>10.8%</c:v>
                    </c:pt>
                  </c:strCache>
                </c:strRef>
              </c:tx>
              <c:spPr>
                <a:noFill/>
                <a:ln>
                  <a:noFill/>
                </a:ln>
              </c:spPr>
              <c:txPr>
                <a:bodyPr/>
                <a:lstStyle/>
                <a:p>
                  <a:pPr>
                    <a:defRPr/>
                  </a:pPr>
                  <a:endParaRPr lang="en-US"/>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{037661B7-7516-4F8E-937D-A01F92EC2815}</c15:txfldGUID>
                      <c15:f>'RandomORG Trading Simulator'!$T$47</c15:f>
                      <c15:dlblFieldTableCache>
                        <c:ptCount val="1"/>
                        <c:pt idx="0">
                          <c:v>10.8%</c:v>
                        </c:pt>
                      </c15:dlblFieldTableCache>
                    </c15:dlblFTEntry>
                  </c15:dlblFieldTable>
                  <c15:showDataLabelsRange val="0"/>
                </c:ext>
                <c:ext xmlns:c16="http://schemas.microsoft.com/office/drawing/2014/chart" uri="{C3380CC4-5D6E-409C-BE32-E72D297353CC}">
                  <c16:uniqueId val="{0000004B-D47B-4DB0-818F-7CADACA0ED64}"/>
                </c:ext>
              </c:extLst>
            </c:dLbl>
            <c:dLbl>
              <c:idx val="24"/>
              <c:layout>
                <c:manualLayout>
                  <c:x val="-7.0262886766152451E-3"/>
                  <c:y val="1.6702851858578949E-4"/>
                </c:manualLayout>
              </c:layout>
              <c:tx>
                <c:strRef>
                  <c:f>'RandomORG Trading Simulator'!$T$48</c:f>
                  <c:strCache>
                    <c:ptCount val="1"/>
                    <c:pt idx="0">
                      <c:v>11.6%</c:v>
                    </c:pt>
                  </c:strCache>
                </c:strRef>
              </c:tx>
              <c:spPr>
                <a:noFill/>
                <a:ln>
                  <a:noFill/>
                </a:ln>
              </c:spPr>
              <c:txPr>
                <a:bodyPr/>
                <a:lstStyle/>
                <a:p>
                  <a:pPr>
                    <a:defRPr/>
                  </a:pPr>
                  <a:endParaRPr lang="en-US"/>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{6E83CABF-493B-415A-8F4F-54222AEE779D}</c15:txfldGUID>
                      <c15:f>'RandomORG Trading Simulator'!$T$48</c15:f>
                      <c15:dlblFieldTableCache>
                        <c:ptCount val="1"/>
                        <c:pt idx="0">
                          <c:v>11.6%</c:v>
                        </c:pt>
                      </c15:dlblFieldTableCache>
                    </c15:dlblFTEntry>
                  </c15:dlblFieldTable>
                  <c15:showDataLabelsRange val="0"/>
                </c:ext>
                <c:ext xmlns:c16="http://schemas.microsoft.com/office/drawing/2014/chart" uri="{C3380CC4-5D6E-409C-BE32-E72D297353CC}">
                  <c16:uniqueId val="{0000004C-D47B-4DB0-818F-7CADACA0ED64}"/>
                </c:ext>
              </c:extLst>
            </c:dLbl>
            <c:numFmt formatCode="0.00%" sourceLinked="0"/>
            <c:spPr>
              <a:noFill/>
              <a:ln>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'RandomORG Trading Simulator'!$Q$24:$Q$48</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1</c:v>
                </c:pt>
                <c:pt idx="18">
                  <c:v>3</c:v>
                </c:pt>
                <c:pt idx="19">
                  <c:v>1</c:v>
                </c:pt>
                <c:pt idx="20">
                  <c:v>3</c:v>
                </c:pt>
                <c:pt idx="21">
                  <c:v>9</c:v>
                </c:pt>
                <c:pt idx="22">
                  <c:v>20</c:v>
                </c:pt>
                <c:pt idx="23">
                  <c:v>27</c:v>
                </c:pt>
                <c:pt idx="24">
                  <c:v>58</c:v>
                </c:pt>
              </c:numCache>
            </c:numRef>
          </c:xVal>
          <c:yVal>
            <c:numRef>
              <c:f>'RandomORG Trading Simulator'!$S$24:$S$48</c:f>
              <c:numCache>
                <c:formatCode>General</c:formatCode>
                <c:ptCount val="25"/>
                <c:pt idx="0">
                  <c:v>0.5</c:v>
                </c:pt>
                <c:pt idx="1">
                  <c:v>2.5</c:v>
                </c:pt>
                <c:pt idx="2">
                  <c:v>4.5</c:v>
                </c:pt>
                <c:pt idx="3">
                  <c:v>6.5</c:v>
                </c:pt>
                <c:pt idx="4">
                  <c:v>8.5</c:v>
                </c:pt>
                <c:pt idx="5">
                  <c:v>10.5</c:v>
                </c:pt>
                <c:pt idx="6">
                  <c:v>12.5</c:v>
                </c:pt>
                <c:pt idx="7">
                  <c:v>14.5</c:v>
                </c:pt>
                <c:pt idx="8">
                  <c:v>16.5</c:v>
                </c:pt>
                <c:pt idx="9">
                  <c:v>18.5</c:v>
                </c:pt>
                <c:pt idx="10">
                  <c:v>20.5</c:v>
                </c:pt>
                <c:pt idx="11">
                  <c:v>22.5</c:v>
                </c:pt>
                <c:pt idx="12">
                  <c:v>24.5</c:v>
                </c:pt>
                <c:pt idx="13">
                  <c:v>26.5</c:v>
                </c:pt>
                <c:pt idx="14">
                  <c:v>28.5</c:v>
                </c:pt>
                <c:pt idx="15">
                  <c:v>30.5</c:v>
                </c:pt>
                <c:pt idx="16">
                  <c:v>32.5</c:v>
                </c:pt>
                <c:pt idx="17">
                  <c:v>34.5</c:v>
                </c:pt>
                <c:pt idx="18">
                  <c:v>36.5</c:v>
                </c:pt>
                <c:pt idx="19">
                  <c:v>38.5</c:v>
                </c:pt>
                <c:pt idx="20">
                  <c:v>40.5</c:v>
                </c:pt>
                <c:pt idx="21">
                  <c:v>42.5</c:v>
                </c:pt>
                <c:pt idx="22">
                  <c:v>44.5</c:v>
                </c:pt>
                <c:pt idx="23">
                  <c:v>46.5</c:v>
                </c:pt>
                <c:pt idx="24">
                  <c:v>48.5</c:v>
                </c:pt>
              </c:numCache>
            </c:numRef>
          </c:yVal>
          <c:smooth val="0"/>
          <c:extLst>
            <c:ext xmlns:c16="http://schemas.microsoft.com/office/drawing/2014/chart" uri="{C3380CC4-5D6E-409C-BE32-E72D297353CC}">
              <c16:uniqueId val="{0000004D-D47B-4DB0-818F-7CADACA0ED64}"/>
            </c:ext>
          </c:extLst>
        </c:ser>
        <c:ser>
          <c:idx val="3"/>
          <c:order val="3"/>
          <c:tx>
            <c:v>loss percentage</c:v>
          </c:tx>
          <c:spPr>
            <a:ln w="28575">
              <a:noFill/>
            </a:ln>
          </c:spPr>
          <c:marker>
            <c:symbol val="none"/>
          </c:marker>
          <c:dLbls>
            <c:dLbl>
              <c:idx val="0"/>
              <c:layout>
                <c:manualLayout>
                  <c:x val="1.7454185519035322E-2"/>
                  <c:y val="-1.8854194949769311E-4"/>
                </c:manualLayout>
              </c:layout>
              <c:tx>
                <c:strRef>
                  <c:f>'RandomORG Trading Simulator'!$V$24</c:f>
                  <c:strCache>
                    <c:ptCount val="1"/>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{5AAE7B17-2CC3-4616-B258-34BF6E4D2287}</c15:txfldGUID>
                      <c15:f>'RandomORG Trading Simulator'!$V$24</c15:f>
                      <c15:dlblFieldTableCache>
                        <c:ptCount val="1"/>
                      </c15:dlblFieldTableCache>
                    </c15:dlblFTEntry>
                  </c15:dlblFieldTable>
                  <c15:showDataLabelsRange val="0"/>
                </c:ext>
                <c:ext xmlns:c16="http://schemas.microsoft.com/office/drawing/2014/chart" uri="{C3380CC4-5D6E-409C-BE32-E72D297353CC}">
                  <c16:uniqueId val="{0000004E-D47B-4DB0-818F-7CADACA0ED64}"/>
                </c:ext>
              </c:extLst>
            </c:dLbl>
            <c:dLbl>
              <c:idx val="1"/>
              <c:layout>
                <c:manualLayout>
                  <c:x val="1.7454185519035322E-2"/>
                  <c:y val="-1.8854194949769311E-4"/>
                </c:manualLayout>
              </c:layout>
              <c:tx>
                <c:strRef>
                  <c:f>'RandomORG Trading Simulator'!$V$25</c:f>
                  <c:strCache>
                    <c:ptCount val="1"/>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{217087A2-CCCD-4027-A0A4-5794BE431493}</c15:txfldGUID>
                      <c15:f>'RandomORG Trading Simulator'!$V$25</c15:f>
                      <c15:dlblFieldTableCache>
                        <c:ptCount val="1"/>
                      </c15:dlblFieldTableCache>
                    </c15:dlblFTEntry>
                  </c15:dlblFieldTable>
                  <c15:showDataLabelsRange val="0"/>
                </c:ext>
                <c:ext xmlns:c16="http://schemas.microsoft.com/office/drawing/2014/chart" uri="{C3380CC4-5D6E-409C-BE32-E72D297353CC}">
                  <c16:uniqueId val="{0000004F-D47B-4DB0-818F-7CADACA0ED64}"/>
                </c:ext>
              </c:extLst>
            </c:dLbl>
            <c:dLbl>
              <c:idx val="2"/>
              <c:layout>
                <c:manualLayout>
                  <c:x val="1.7454185519035322E-2"/>
                  <c:y val="-1.8854194949769311E-4"/>
                </c:manualLayout>
              </c:layout>
              <c:tx>
                <c:strRef>
                  <c:f>'RandomORG Trading Simulator'!$V$26</c:f>
                  <c:strCache>
                    <c:ptCount val="1"/>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{094647EA-805F-4514-B3FC-ECE30339070B}</c15:txfldGUID>
                      <c15:f>'RandomORG Trading Simulator'!$V$26</c15:f>
                      <c15:dlblFieldTableCache>
                        <c:ptCount val="1"/>
                      </c15:dlblFieldTableCache>
                    </c15:dlblFTEntry>
                  </c15:dlblFieldTable>
                  <c15:showDataLabelsRange val="0"/>
                </c:ext>
                <c:ext xmlns:c16="http://schemas.microsoft.com/office/drawing/2014/chart" uri="{C3380CC4-5D6E-409C-BE32-E72D297353CC}">
                  <c16:uniqueId val="{00000050-D47B-4DB0-818F-7CADACA0ED64}"/>
                </c:ext>
              </c:extLst>
            </c:dLbl>
            <c:dLbl>
              <c:idx val="3"/>
              <c:layout>
                <c:manualLayout>
                  <c:x val="1.7454185519035322E-2"/>
                  <c:y val="-1.8854194949769311E-4"/>
                </c:manualLayout>
              </c:layout>
              <c:tx>
                <c:strRef>
                  <c:f>'RandomORG Trading Simulator'!$V$27</c:f>
                  <c:strCache>
                    <c:ptCount val="1"/>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{5879A19D-5B23-4E8E-9EB1-F482A543C7A3}</c15:txfldGUID>
                      <c15:f>'RandomORG Trading Simulator'!$V$27</c15:f>
                      <c15:dlblFieldTableCache>
                        <c:ptCount val="1"/>
                      </c15:dlblFieldTableCache>
                    </c15:dlblFTEntry>
                  </c15:dlblFieldTable>
                  <c15:showDataLabelsRange val="0"/>
                </c:ext>
                <c:ext xmlns:c16="http://schemas.microsoft.com/office/drawing/2014/chart" uri="{C3380CC4-5D6E-409C-BE32-E72D297353CC}">
                  <c16:uniqueId val="{00000051-D47B-4DB0-818F-7CADACA0ED64}"/>
                </c:ext>
              </c:extLst>
            </c:dLbl>
            <c:dLbl>
              <c:idx val="4"/>
              <c:layout>
                <c:manualLayout>
                  <c:x val="1.7454185519035322E-2"/>
                  <c:y val="-1.8854194949769311E-4"/>
                </c:manualLayout>
              </c:layout>
              <c:tx>
                <c:strRef>
                  <c:f>'RandomORG Trading Simulator'!$V$28</c:f>
                  <c:strCache>
                    <c:ptCount val="1"/>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{B55CBF31-2F4C-41C8-A7F5-7E18E222E682}</c15:txfldGUID>
                      <c15:f>'RandomORG Trading Simulator'!$V$28</c15:f>
                      <c15:dlblFieldTableCache>
                        <c:ptCount val="1"/>
                      </c15:dlblFieldTableCache>
                    </c15:dlblFTEntry>
                  </c15:dlblFieldTable>
                  <c15:showDataLabelsRange val="0"/>
                </c:ext>
                <c:ext xmlns:c16="http://schemas.microsoft.com/office/drawing/2014/chart" uri="{C3380CC4-5D6E-409C-BE32-E72D297353CC}">
                  <c16:uniqueId val="{00000052-D47B-4DB0-818F-7CADACA0ED64}"/>
                </c:ext>
              </c:extLst>
            </c:dLbl>
            <c:dLbl>
              <c:idx val="5"/>
              <c:layout>
                <c:manualLayout>
                  <c:x val="1.7454185519035322E-2"/>
                  <c:y val="-1.8854194949769311E-4"/>
                </c:manualLayout>
              </c:layout>
              <c:tx>
                <c:strRef>
                  <c:f>'RandomORG Trading Simulator'!$V$29</c:f>
                  <c:strCache>
                    <c:ptCount val="1"/>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{7E1AF18B-4BCA-4847-B529-3F9FE0D0DF1D}</c15:txfldGUID>
                      <c15:f>'RandomORG Trading Simulator'!$V$29</c15:f>
                      <c15:dlblFieldTableCache>
                        <c:ptCount val="1"/>
                      </c15:dlblFieldTableCache>
                    </c15:dlblFTEntry>
                  </c15:dlblFieldTable>
                  <c15:showDataLabelsRange val="0"/>
                </c:ext>
                <c:ext xmlns:c16="http://schemas.microsoft.com/office/drawing/2014/chart" uri="{C3380CC4-5D6E-409C-BE32-E72D297353CC}">
                  <c16:uniqueId val="{00000053-D47B-4DB0-818F-7CADACA0ED64}"/>
                </c:ext>
              </c:extLst>
            </c:dLbl>
            <c:dLbl>
              <c:idx val="6"/>
              <c:layout>
                <c:manualLayout>
                  <c:x val="-7.4126702190645353E-3"/>
                  <c:y val="-1.8854434948483844E-4"/>
                </c:manualLayout>
              </c:layout>
              <c:tx>
                <c:strRef>
                  <c:f>'RandomORG Trading Simulator'!$V$30</c:f>
                  <c:strCache>
                    <c:ptCount val="1"/>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{C090C6BE-DE7C-4AAB-8A95-2E48394FAD54}</c15:txfldGUID>
                      <c15:f>'RandomORG Trading Simulator'!$V$30</c15:f>
                      <c15:dlblFieldTableCache>
                        <c:ptCount val="1"/>
                      </c15:dlblFieldTableCache>
                    </c15:dlblFTEntry>
                  </c15:dlblFieldTable>
                  <c15:showDataLabelsRange val="0"/>
                </c:ext>
                <c:ext xmlns:c16="http://schemas.microsoft.com/office/drawing/2014/chart" uri="{C3380CC4-5D6E-409C-BE32-E72D297353CC}">
                  <c16:uniqueId val="{00000054-D47B-4DB0-818F-7CADACA0ED64}"/>
                </c:ext>
              </c:extLst>
            </c:dLbl>
            <c:dLbl>
              <c:idx val="7"/>
              <c:layout>
                <c:manualLayout>
                  <c:x val="-6.2285375962107753E-3"/>
                  <c:y val="-1.8854434948483844E-4"/>
                </c:manualLayout>
              </c:layout>
              <c:tx>
                <c:strRef>
                  <c:f>'RandomORG Trading Simulator'!$V$31</c:f>
                  <c:strCache>
                    <c:ptCount val="1"/>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{8EFCF2B0-3A3A-4433-A487-7081CE55FE0F}</c15:txfldGUID>
                      <c15:f>'RandomORG Trading Simulator'!$V$31</c15:f>
                      <c15:dlblFieldTableCache>
                        <c:ptCount val="1"/>
                      </c15:dlblFieldTableCache>
                    </c15:dlblFTEntry>
                  </c15:dlblFieldTable>
                  <c15:showDataLabelsRange val="0"/>
                </c:ext>
                <c:ext xmlns:c16="http://schemas.microsoft.com/office/drawing/2014/chart" uri="{C3380CC4-5D6E-409C-BE32-E72D297353CC}">
                  <c16:uniqueId val="{00000055-D47B-4DB0-818F-7CADACA0ED64}"/>
                </c:ext>
              </c:extLst>
            </c:dLbl>
            <c:dLbl>
              <c:idx val="8"/>
              <c:layout>
                <c:manualLayout>
                  <c:x val="1.7454185519035322E-2"/>
                  <c:y val="-1.8854194949769311E-4"/>
                </c:manualLayout>
              </c:layout>
              <c:tx>
                <c:strRef>
                  <c:f>'RandomORG Trading Simulator'!$V$32</c:f>
                  <c:strCache>
                    <c:ptCount val="1"/>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{BAC778FD-2F68-424F-8D09-7EC5DC79E1B5}</c15:txfldGUID>
                      <c15:f>'RandomORG Trading Simulator'!$V$32</c15:f>
                      <c15:dlblFieldTableCache>
                        <c:ptCount val="1"/>
                      </c15:dlblFieldTableCache>
                    </c15:dlblFTEntry>
                  </c15:dlblFieldTable>
                  <c15:showDataLabelsRange val="0"/>
                </c:ext>
                <c:ext xmlns:c16="http://schemas.microsoft.com/office/drawing/2014/chart" uri="{C3380CC4-5D6E-409C-BE32-E72D297353CC}">
                  <c16:uniqueId val="{00000056-D47B-4DB0-818F-7CADACA0ED64}"/>
                </c:ext>
              </c:extLst>
            </c:dLbl>
            <c:dLbl>
              <c:idx val="9"/>
              <c:layout>
                <c:manualLayout>
                  <c:x val="-5.0444049733570162E-3"/>
                  <c:y val="-1.8854434948475796E-4"/>
                </c:manualLayout>
              </c:layout>
              <c:tx>
                <c:strRef>
                  <c:f>'RandomORG Trading Simulator'!$V$33</c:f>
                  <c:strCache>
                    <c:ptCount val="1"/>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{FB1FB8DE-A1A2-4874-96AE-C2178CB97E3E}</c15:txfldGUID>
                      <c15:f>'RandomORG Trading Simulator'!$V$33</c15:f>
                      <c15:dlblFieldTableCache>
                        <c:ptCount val="1"/>
                      </c15:dlblFieldTableCache>
                    </c15:dlblFTEntry>
                  </c15:dlblFieldTable>
                  <c15:showDataLabelsRange val="0"/>
                </c:ext>
                <c:ext xmlns:c16="http://schemas.microsoft.com/office/drawing/2014/chart" uri="{C3380CC4-5D6E-409C-BE32-E72D297353CC}">
                  <c16:uniqueId val="{00000057-D47B-4DB0-818F-7CADACA0ED64}"/>
                </c:ext>
              </c:extLst>
            </c:dLbl>
            <c:dLbl>
              <c:idx val="10"/>
              <c:layout>
                <c:manualLayout>
                  <c:x val="-1.492007104795737E-3"/>
                  <c:y val="-1.8854434948483844E-4"/>
                </c:manualLayout>
              </c:layout>
              <c:tx>
                <c:strRef>
                  <c:f>'RandomORG Trading Simulator'!$V$34</c:f>
                  <c:strCache>
                    <c:ptCount val="1"/>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{CD1E0691-D262-41BD-998B-714F4C800471}</c15:txfldGUID>
                      <c15:f>'RandomORG Trading Simulator'!$V$34</c15:f>
                      <c15:dlblFieldTableCache>
                        <c:ptCount val="1"/>
                      </c15:dlblFieldTableCache>
                    </c15:dlblFTEntry>
                  </c15:dlblFieldTable>
                  <c15:showDataLabelsRange val="0"/>
                </c:ext>
                <c:ext xmlns:c16="http://schemas.microsoft.com/office/drawing/2014/chart" uri="{C3380CC4-5D6E-409C-BE32-E72D297353CC}">
                  <c16:uniqueId val="{00000058-D47B-4DB0-818F-7CADACA0ED64}"/>
                </c:ext>
              </c:extLst>
            </c:dLbl>
            <c:dLbl>
              <c:idx val="11"/>
              <c:layout>
                <c:manualLayout>
                  <c:x val="-1.4919138660065361E-3"/>
                  <c:y val="-1.8854434948483844E-4"/>
                </c:manualLayout>
              </c:layout>
              <c:tx>
                <c:strRef>
                  <c:f>'RandomORG Trading Simulator'!$V$35</c:f>
                  <c:strCache>
                    <c:ptCount val="1"/>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{AC253470-684D-4848-AC0D-1268515B6CA0}</c15:txfldGUID>
                      <c15:f>'RandomORG Trading Simulator'!$V$35</c15:f>
                      <c15:dlblFieldTableCache>
                        <c:ptCount val="1"/>
                      </c15:dlblFieldTableCache>
                    </c15:dlblFTEntry>
                  </c15:dlblFieldTable>
                  <c15:showDataLabelsRange val="0"/>
                </c:ext>
                <c:ext xmlns:c16="http://schemas.microsoft.com/office/drawing/2014/chart" uri="{C3380CC4-5D6E-409C-BE32-E72D297353CC}">
                  <c16:uniqueId val="{00000059-D47B-4DB0-818F-7CADACA0ED64}"/>
                </c:ext>
              </c:extLst>
            </c:dLbl>
            <c:dLbl>
              <c:idx val="12"/>
              <c:layout>
                <c:manualLayout>
                  <c:x val="-3.8601791117140551E-3"/>
                  <c:y val="-1.8854434948483844E-4"/>
                </c:manualLayout>
              </c:layout>
              <c:tx>
                <c:strRef>
                  <c:f>'RandomORG Trading Simulator'!$V$36</c:f>
                  <c:strCache>
                    <c:ptCount val="1"/>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{06E15C92-3728-4FBE-8D81-99017F7AC6D4}</c15:txfldGUID>
                      <c15:f>'RandomORG Trading Simulator'!$V$36</c15:f>
                      <c15:dlblFieldTableCache>
                        <c:ptCount val="1"/>
                      </c15:dlblFieldTableCache>
                    </c15:dlblFTEntry>
                  </c15:dlblFieldTable>
                  <c15:showDataLabelsRange val="0"/>
                </c:ext>
                <c:ext xmlns:c16="http://schemas.microsoft.com/office/drawing/2014/chart" uri="{C3380CC4-5D6E-409C-BE32-E72D297353CC}">
                  <c16:uniqueId val="{0000005A-D47B-4DB0-818F-7CADACA0ED64}"/>
                </c:ext>
              </c:extLst>
            </c:dLbl>
            <c:dLbl>
              <c:idx val="13"/>
              <c:layout>
                <c:manualLayout>
                  <c:x val="-3.8601791117140551E-3"/>
                  <c:y val="-1.8854434948483844E-4"/>
                </c:manualLayout>
              </c:layout>
              <c:tx>
                <c:strRef>
                  <c:f>'RandomORG Trading Simulator'!$V$37</c:f>
                  <c:strCache>
                    <c:ptCount val="1"/>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{9930350E-8C62-45CB-8E74-6EDF27A7CF7A}</c15:txfldGUID>
                      <c15:f>'RandomORG Trading Simulator'!$V$37</c15:f>
                      <c15:dlblFieldTableCache>
                        <c:ptCount val="1"/>
                      </c15:dlblFieldTableCache>
                    </c15:dlblFTEntry>
                  </c15:dlblFieldTable>
                  <c15:showDataLabelsRange val="0"/>
                </c:ext>
                <c:ext xmlns:c16="http://schemas.microsoft.com/office/drawing/2014/chart" uri="{C3380CC4-5D6E-409C-BE32-E72D297353CC}">
                  <c16:uniqueId val="{0000005B-D47B-4DB0-818F-7CADACA0ED64}"/>
                </c:ext>
              </c:extLst>
            </c:dLbl>
            <c:dLbl>
              <c:idx val="14"/>
              <c:layout>
                <c:manualLayout>
                  <c:x val="-3.8602723505032563E-3"/>
                  <c:y val="-1.8854434948483844E-4"/>
                </c:manualLayout>
              </c:layout>
              <c:tx>
                <c:strRef>
                  <c:f>'RandomORG Trading Simulator'!$V$38</c:f>
                  <c:strCache>
                    <c:ptCount val="1"/>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{B387A91F-896F-4665-AF04-637F7CF9DC6C}</c15:txfldGUID>
                      <c15:f>'RandomORG Trading Simulator'!$V$38</c15:f>
                      <c15:dlblFieldTableCache>
                        <c:ptCount val="1"/>
                      </c15:dlblFieldTableCache>
                    </c15:dlblFTEntry>
                  </c15:dlblFieldTable>
                  <c15:showDataLabelsRange val="0"/>
                </c:ext>
                <c:ext xmlns:c16="http://schemas.microsoft.com/office/drawing/2014/chart" uri="{C3380CC4-5D6E-409C-BE32-E72D297353CC}">
                  <c16:uniqueId val="{0000005C-D47B-4DB0-818F-7CADACA0ED64}"/>
                </c:ext>
              </c:extLst>
            </c:dLbl>
            <c:dLbl>
              <c:idx val="15"/>
              <c:layout>
                <c:manualLayout>
                  <c:x val="-3.9935356605893327E-3"/>
                  <c:y val="-1.8854434948483844E-4"/>
                </c:manualLayout>
              </c:layout>
              <c:tx>
                <c:strRef>
                  <c:f>'RandomORG Trading Simulator'!$V$39</c:f>
                  <c:strCache>
                    <c:ptCount val="1"/>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{1065A863-9EA7-4190-A1E5-DBEFF785627E}</c15:txfldGUID>
                      <c15:f>'RandomORG Trading Simulator'!$V$39</c15:f>
                      <c15:dlblFieldTableCache>
                        <c:ptCount val="1"/>
                      </c15:dlblFieldTableCache>
                    </c15:dlblFTEntry>
                  </c15:dlblFieldTable>
                  <c15:showDataLabelsRange val="0"/>
                </c:ext>
                <c:ext xmlns:c16="http://schemas.microsoft.com/office/drawing/2014/chart" uri="{C3380CC4-5D6E-409C-BE32-E72D297353CC}">
                  <c16:uniqueId val="{0000005D-D47B-4DB0-818F-7CADACA0ED64}"/>
                </c:ext>
              </c:extLst>
            </c:dLbl>
            <c:dLbl>
              <c:idx val="16"/>
              <c:layout>
                <c:manualLayout>
                  <c:x val="-5.0443117345678259E-3"/>
                  <c:y val="9.0884943532613125E-4"/>
                </c:manualLayout>
              </c:layout>
              <c:tx>
                <c:strRef>
                  <c:f>'RandomORG Trading Simulator'!$V$40</c:f>
                  <c:strCache>
                    <c:ptCount val="1"/>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{C761A57D-02D1-4AE5-B665-860B2BB4155E}</c15:txfldGUID>
                      <c15:f>'RandomORG Trading Simulator'!$V$40</c15:f>
                      <c15:dlblFieldTableCache>
                        <c:ptCount val="1"/>
                      </c15:dlblFieldTableCache>
                    </c15:dlblFTEntry>
                  </c15:dlblFieldTable>
                  <c15:showDataLabelsRange val="0"/>
                </c:ext>
                <c:ext xmlns:c16="http://schemas.microsoft.com/office/drawing/2014/chart" uri="{C3380CC4-5D6E-409C-BE32-E72D297353CC}">
                  <c16:uniqueId val="{0000005E-D47B-4DB0-818F-7CADACA0ED64}"/>
                </c:ext>
              </c:extLst>
            </c:dLbl>
            <c:dLbl>
              <c:idx val="17"/>
              <c:layout>
                <c:manualLayout>
                  <c:x val="-6.3841531353873836E-3"/>
                  <c:y val="9.0867661740726342E-4"/>
                </c:manualLayout>
              </c:layout>
              <c:tx>
                <c:strRef>
                  <c:f>'RandomORG Trading Simulator'!$V$41</c:f>
                  <c:strCache>
                    <c:ptCount val="1"/>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{44EE4253-3081-449B-AE42-EB2499503464}</c15:txfldGUID>
                      <c15:f>'RandomORG Trading Simulator'!$V$41</c15:f>
                      <c15:dlblFieldTableCache>
                        <c:ptCount val="1"/>
                      </c15:dlblFieldTableCache>
                    </c15:dlblFTEntry>
                  </c15:dlblFieldTable>
                  <c15:showDataLabelsRange val="0"/>
                </c:ext>
                <c:ext xmlns:c16="http://schemas.microsoft.com/office/drawing/2014/chart" uri="{C3380CC4-5D6E-409C-BE32-E72D297353CC}">
                  <c16:uniqueId val="{0000005F-D47B-4DB0-818F-7CADACA0ED64}"/>
                </c:ext>
              </c:extLst>
            </c:dLbl>
            <c:dLbl>
              <c:idx val="18"/>
              <c:layout>
                <c:manualLayout>
                  <c:x val="-5.0444049733570162E-3"/>
                  <c:y val="9.0884943532609102E-4"/>
                </c:manualLayout>
              </c:layout>
              <c:tx>
                <c:strRef>
                  <c:f>'RandomORG Trading Simulator'!$V$42</c:f>
                  <c:strCache>
                    <c:ptCount val="1"/>
                    <c:pt idx="0">
                      <c:v>1.4%</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{C227F3C5-93CD-43F1-B404-D66F9C3568CC}</c15:txfldGUID>
                      <c15:f>'RandomORG Trading Simulator'!$V$42</c15:f>
                      <c15:dlblFieldTableCache>
                        <c:ptCount val="1"/>
                        <c:pt idx="0">
                          <c:v>1.4%</c:v>
                        </c:pt>
                      </c15:dlblFieldTableCache>
                    </c15:dlblFTEntry>
                  </c15:dlblFieldTable>
                  <c15:showDataLabelsRange val="0"/>
                </c:ext>
                <c:ext xmlns:c16="http://schemas.microsoft.com/office/drawing/2014/chart" uri="{C3380CC4-5D6E-409C-BE32-E72D297353CC}">
                  <c16:uniqueId val="{00000060-D47B-4DB0-818F-7CADACA0ED64}"/>
                </c:ext>
              </c:extLst>
            </c:dLbl>
            <c:dLbl>
              <c:idx val="19"/>
              <c:layout>
                <c:manualLayout>
                  <c:x val="-2.616790863608537E-3"/>
                  <c:y val="-1.8854194949769311E-4"/>
                </c:manualLayout>
              </c:layout>
              <c:tx>
                <c:strRef>
                  <c:f>'RandomORG Trading Simulator'!$V$43</c:f>
                  <c:strCache>
                    <c:ptCount val="1"/>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{2F8D22BF-9C84-42E6-8C43-33489567E0B2}</c15:txfldGUID>
                      <c15:f>'RandomORG Trading Simulator'!$V$43</c15:f>
                      <c15:dlblFieldTableCache>
                        <c:ptCount val="1"/>
                      </c15:dlblFieldTableCache>
                    </c15:dlblFTEntry>
                  </c15:dlblFieldTable>
                  <c15:showDataLabelsRange val="0"/>
                </c:ext>
                <c:ext xmlns:c16="http://schemas.microsoft.com/office/drawing/2014/chart" uri="{C3380CC4-5D6E-409C-BE32-E72D297353CC}">
                  <c16:uniqueId val="{00000061-D47B-4DB0-818F-7CADACA0ED64}"/>
                </c:ext>
              </c:extLst>
            </c:dLbl>
            <c:dLbl>
              <c:idx val="20"/>
              <c:layout>
                <c:manualLayout>
                  <c:x val="-6.1840626937618584E-3"/>
                  <c:y val="-1.8854434948483844E-4"/>
                </c:manualLayout>
              </c:layout>
              <c:tx>
                <c:strRef>
                  <c:f>'RandomORG Trading Simulator'!$V$44</c:f>
                  <c:strCache>
                    <c:ptCount val="1"/>
                    <c:pt idx="0">
                      <c:v>4.0%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{AE754BA1-88CF-45CA-B6EA-E7730FA12F30}</c15:txfldGUID>
                      <c15:f>'RandomORG Trading Simulator'!$V$44</c15:f>
                      <c15:dlblFieldTableCache>
                        <c:ptCount val="1"/>
                        <c:pt idx="0">
                          <c:v>4.0%</c:v>
                        </c:pt>
                      </c15:dlblFieldTableCache>
                    </c15:dlblFTEntry>
                  </c15:dlblFieldTable>
                  <c15:showDataLabelsRange val="0"/>
                </c:ext>
                <c:ext xmlns:c16="http://schemas.microsoft.com/office/drawing/2014/chart" uri="{C3380CC4-5D6E-409C-BE32-E72D297353CC}">
                  <c16:uniqueId val="{00000062-D47B-4DB0-818F-7CADACA0ED64}"/>
                </c:ext>
              </c:extLst>
            </c:dLbl>
            <c:dLbl>
              <c:idx val="21"/>
              <c:layout>
                <c:manualLayout>
                  <c:x val="-6.1691444874896854E-3"/>
                  <c:y val="-1.8854434948483844E-4"/>
                </c:manualLayout>
              </c:layout>
              <c:tx>
                <c:strRef>
                  <c:f>'RandomORG Trading Simulator'!$V$45</c:f>
                  <c:strCache>
                    <c:ptCount val="1"/>
                    <c:pt idx="0">
                      <c:v>8.0%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{B95B9E4F-ED2A-463C-89CE-41657787984A}</c15:txfldGUID>
                      <c15:f>'RandomORG Trading Simulator'!$V$45</c15:f>
                      <c15:dlblFieldTableCache>
                        <c:ptCount val="1"/>
                        <c:pt idx="0">
                          <c:v>8.0%</c:v>
                        </c:pt>
                      </c15:dlblFieldTableCache>
                    </c15:dlblFTEntry>
                  </c15:dlblFieldTable>
                  <c15:showDataLabelsRange val="0"/>
                </c:ext>
                <c:ext xmlns:c16="http://schemas.microsoft.com/office/drawing/2014/chart" uri="{C3380CC4-5D6E-409C-BE32-E72D297353CC}">
                  <c16:uniqueId val="{00000063-D47B-4DB0-818F-7CADACA0ED64}"/>
                </c:ext>
              </c:extLst>
            </c:dLbl>
            <c:dLbl>
              <c:idx val="22"/>
              <c:layout>
                <c:manualLayout>
                  <c:x val="-6.1693309650680877E-3"/>
                  <c:y val="-1.887171674037063E-4"/>
                </c:manualLayout>
              </c:layout>
              <c:tx>
                <c:strRef>
                  <c:f>'RandomORG Trading Simulator'!$V$46</c:f>
                  <c:strCache>
                    <c:ptCount val="1"/>
                    <c:pt idx="0">
                      <c:v>9.0%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{A1B36BB6-18FC-4D33-857B-70F27BFF7BF8}</c15:txfldGUID>
                      <c15:f>'RandomORG Trading Simulator'!$V$46</c15:f>
                      <c15:dlblFieldTableCache>
                        <c:ptCount val="1"/>
                        <c:pt idx="0">
                          <c:v>9.0%</c:v>
                        </c:pt>
                      </c15:dlblFieldTableCache>
                    </c15:dlblFTEntry>
                  </c15:dlblFieldTable>
                  <c15:showDataLabelsRange val="0"/>
                </c:ext>
                <c:ext xmlns:c16="http://schemas.microsoft.com/office/drawing/2014/chart" uri="{C3380CC4-5D6E-409C-BE32-E72D297353CC}">
                  <c16:uniqueId val="{00000064-D47B-4DB0-818F-7CADACA0ED64}"/>
                </c:ext>
              </c:extLst>
            </c:dLbl>
            <c:dLbl>
              <c:idx val="23"/>
              <c:layout>
                <c:manualLayout>
                  <c:x val="-6.5694186095299366E-3"/>
                  <c:y val="-1.887171674037063E-4"/>
                </c:manualLayout>
              </c:layout>
              <c:tx>
                <c:strRef>
                  <c:f>'RandomORG Trading Simulator'!$V$47</c:f>
                  <c:strCache>
                    <c:ptCount val="1"/>
                    <c:pt idx="0">
                      <c:v>10.0%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{28C3956C-6CC4-4E69-916C-49449941DB2E}</c15:txfldGUID>
                      <c15:f>'RandomORG Trading Simulator'!$V$47</c15:f>
                      <c15:dlblFieldTableCache>
                        <c:ptCount val="1"/>
                        <c:pt idx="0">
                          <c:v>10.0%</c:v>
                        </c:pt>
                      </c15:dlblFieldTableCache>
                    </c15:dlblFTEntry>
                  </c15:dlblFieldTable>
                  <c15:showDataLabelsRange val="0"/>
                </c:ext>
                <c:ext xmlns:c16="http://schemas.microsoft.com/office/drawing/2014/chart" uri="{C3380CC4-5D6E-409C-BE32-E72D297353CC}">
                  <c16:uniqueId val="{00000065-D47B-4DB0-818F-7CADACA0ED64}"/>
                </c:ext>
              </c:extLst>
            </c:dLbl>
            <c:dLbl>
              <c:idx val="24"/>
              <c:layout>
                <c:manualLayout>
                  <c:x val="-5.7271795449161346E-3"/>
                  <c:y val="-1.8854194949769311E-4"/>
                </c:manualLayout>
              </c:layout>
              <c:tx>
                <c:strRef>
                  <c:f>'RandomORG Trading Simulator'!$V$48</c:f>
                  <c:strCache>
                    <c:ptCount val="1"/>
                    <c:pt idx="0">
                      <c:v>13.6%</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{A29986F3-6659-4B76-9A73-4E8D636DE2D9}</c15:txfldGUID>
                      <c15:f>'RandomORG Trading Simulator'!$V$48</c15:f>
                      <c15:dlblFieldTableCache>
                        <c:ptCount val="1"/>
                        <c:pt idx="0">
                          <c:v>13.6%</c:v>
                        </c:pt>
                      </c15:dlblFieldTableCache>
                    </c15:dlblFTEntry>
                  </c15:dlblFieldTable>
                  <c15:showDataLabelsRange val="0"/>
                </c:ext>
                <c:ext xmlns:c16="http://schemas.microsoft.com/office/drawing/2014/chart" uri="{C3380CC4-5D6E-409C-BE32-E72D297353CC}">
                  <c16:uniqueId val="{00000066-D47B-4DB0-818F-7CADACA0ED64}"/>
                </c:ext>
              </c:extLst>
            </c:dLbl>
            <c:numFmt formatCode="0.00%" sourceLinked="0"/>
            <c:spPr>
              <a:noFill/>
              <a:ln>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'RandomORG Trading Simulator'!$R$24:$R$48</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4</c:v>
                </c:pt>
                <c:pt idx="21">
                  <c:v>10</c:v>
                </c:pt>
                <c:pt idx="22">
                  <c:v>15</c:v>
                </c:pt>
                <c:pt idx="23">
                  <c:v>25</c:v>
                </c:pt>
                <c:pt idx="24">
                  <c:v>68</c:v>
                </c:pt>
              </c:numCache>
            </c:numRef>
          </c:xVal>
          <c:yVal>
            <c:numRef>
              <c:f>'RandomORG Trading Simulator'!$U$24:$U$48</c:f>
              <c:numCache>
                <c:formatCode>General</c:formatCode>
                <c:ptCount val="25"/>
                <c:pt idx="0">
                  <c:v>1.5</c:v>
                </c:pt>
                <c:pt idx="1">
                  <c:v>3.5</c:v>
                </c:pt>
                <c:pt idx="2">
                  <c:v>5.5</c:v>
                </c:pt>
                <c:pt idx="3">
                  <c:v>7.5</c:v>
                </c:pt>
                <c:pt idx="4">
                  <c:v>9.5</c:v>
                </c:pt>
                <c:pt idx="5">
                  <c:v>11.5</c:v>
                </c:pt>
                <c:pt idx="6">
                  <c:v>13.5</c:v>
                </c:pt>
                <c:pt idx="7">
                  <c:v>15.5</c:v>
                </c:pt>
                <c:pt idx="8">
                  <c:v>17.5</c:v>
                </c:pt>
                <c:pt idx="9">
                  <c:v>19.5</c:v>
                </c:pt>
                <c:pt idx="10">
                  <c:v>21.5</c:v>
                </c:pt>
                <c:pt idx="11">
                  <c:v>23.5</c:v>
                </c:pt>
                <c:pt idx="12">
                  <c:v>25.5</c:v>
                </c:pt>
                <c:pt idx="13">
                  <c:v>27.5</c:v>
                </c:pt>
                <c:pt idx="14">
                  <c:v>29.5</c:v>
                </c:pt>
                <c:pt idx="15">
                  <c:v>31.5</c:v>
                </c:pt>
                <c:pt idx="16">
                  <c:v>33.5</c:v>
                </c:pt>
                <c:pt idx="17">
                  <c:v>35.5</c:v>
                </c:pt>
                <c:pt idx="18">
                  <c:v>37.5</c:v>
                </c:pt>
                <c:pt idx="19">
                  <c:v>39.5</c:v>
                </c:pt>
                <c:pt idx="20">
                  <c:v>41.5</c:v>
                </c:pt>
                <c:pt idx="21">
                  <c:v>43.5</c:v>
                </c:pt>
                <c:pt idx="22">
                  <c:v>45.5</c:v>
                </c:pt>
                <c:pt idx="23">
                  <c:v>47.5</c:v>
                </c:pt>
                <c:pt idx="24">
                  <c:v>49.5</c:v>
                </c:pt>
              </c:numCache>
            </c:numRef>
          </c:yVal>
          <c:smooth val="0"/>
          <c:extLst>
            <c:ext xmlns:c16="http://schemas.microsoft.com/office/drawing/2014/chart" uri="{C3380CC4-5D6E-409C-BE32-E72D297353CC}">
              <c16:uniqueId val="{00000067-D47B-4DB0-818F-7CADACA0ED64}"/>
            </c:ext>
          </c:extLst>
        </c:ser>
        <c:dLbls>
          <c:showLegendKey val="0"/>
          <c:showVal val="0"/>
          <c:showCatName val="0"/>
          <c:showSerName val="0"/>
          <c:showPercent val="0"/>
          <c:showBubbleSize val="0"/>
        </c:dLbls>
        <c:axId val="178461696"/>
        <c:axId val="178512640"/>
      </c:scatterChart>
      <c:catAx>
        <c:axId val="178458624"/>
        <c:scaling>
          <c:orientation val="minMax"/>
        </c:scaling>
        <c:delete val="0"/>
        <c:axPos val="l"/>
        <c:numFmt formatCode="General" sourceLinked="0"/>
        <c:majorTickMark val="out"/>
        <c:minorTickMark val="none"/>
        <c:tickLblPos val="nextTo"/>
        <c:spPr>
          <a:noFill/>
          <a:ln w="3175">
            <a:solidFill>
              <a:schemeClr val="accent6">
                <a:lumMod val="75000"/>
              </a:schemeClr>
            </a:solidFill>
            <a:prstDash val="solid"/>
          </a:ln>
        </c:spPr>
        <c:txPr>
          <a:bodyPr rot="0" vert="horz"/>
          <a:lstStyle/>
          <a:p>
            <a:pPr>
              <a:defRPr>
                <a:solidFill>
                  <a:schemeClr val="bg1"/>
                </a:solidFill>
              </a:defRPr>
            </a:pPr>
            <a:endParaRPr lang="en-US"/>
          </a:p>
        </c:txPr>
        <c:crossAx val="178460160"/>
        <c:crosses val="autoZero"/>
        <c:auto val="1"/>
        <c:lblAlgn val="ctr"/>
        <c:lblOffset val="100"/>
        <c:tickLblSkip val="1"/>
        <c:tickMarkSkip val="1"/>
        <c:noMultiLvlLbl val="0"/>
      </c:catAx>
      <c:valAx>
        <c:axId val="178460160"/>
        <c:scaling>
          <c:orientation val="minMax"/>
        </c:scaling>
        <c:delete val="0"/>
        <c:axPos val="b"/>
        <c:numFmt formatCode="General" sourceLinked="1"/>
        <c:majorTickMark val="out"/>
        <c:minorTickMark val="none"/>
        <c:tickLblPos val="low"/>
        <c:spPr>
          <a:ln w="3175">
            <a:solidFill>
              <a:schemeClr val="accent6">
                <a:lumMod val="75000"/>
              </a:schemeClr>
            </a:solidFill>
            <a:prstDash val="solid"/>
          </a:ln>
        </c:spPr>
        <c:txPr>
          <a:bodyPr rot="0" vert="horz"/>
          <a:lstStyle/>
          <a:p>
            <a:pPr>
              <a:defRPr>
                <a:solidFill>
                  <a:schemeClr val="bg1"/>
                </a:solidFill>
              </a:defRPr>
            </a:pPr>
            <a:endParaRPr lang="en-US"/>
          </a:p>
        </c:txPr>
        <c:crossAx val="178458624"/>
        <c:crosses val="autoZero"/>
        <c:crossBetween val="between"/>
      </c:valAx>
      <c:valAx>
        <c:axId val="178461696"/>
        <c:scaling>
          <c:orientation val="minMax"/>
        </c:scaling>
        <c:delete val="1"/>
        <c:axPos val="b"/>
        <c:numFmt formatCode="General" sourceLinked="1"/>
        <c:majorTickMark val="out"/>
        <c:minorTickMark val="none"/>
        <c:tickLblPos val="none"/>
        <c:crossAx val="178512640"/>
        <c:crosses val="autoZero"/>
        <c:crossBetween val="midCat"/>
      </c:valAx>
      <c:valAx>
        <c:axId val="178512640"/>
        <c:scaling>
          <c:orientation val="minMax"/>
          <c:max val="50"/>
          <c:min val="0"/>
        </c:scaling>
        <c:delete val="0"/>
        <c:axPos val="r"/>
        <c:numFmt formatCode="General" sourceLinked="1"/>
        <c:majorTickMark val="none"/>
        <c:minorTickMark val="none"/>
        <c:tickLblPos val="none"/>
        <c:spPr>
          <a:ln w="9525">
            <a:noFill/>
          </a:ln>
        </c:spPr>
        <c:crossAx val="178461696"/>
        <c:crosses val="max"/>
        <c:crossBetween val="midCat"/>
        <c:majorUnit val="2"/>
        <c:minorUnit val="1"/>
      </c:valAx>
      <c:dTable>
        <c:showHorzBorder val="1"/>
        <c:showVertBorder val="1"/>
        <c:showOutline val="1"/>
        <c:showKeys val="1"/>
      </c:dTable>
      <c:spPr>
        <a:solidFill>
          <a:schemeClr val="tx1"/>
        </a:solidFill>
        <a:ln w="25400">
          <a:noFill/>
        </a:ln>
      </c:spPr>
    </c:plotArea>
    <c:legend>
      <c:legendPos val="r"/>
      <c:legendEntry>
        <c:idx val="2"/>
        <c:delete val="1"/>
      </c:legendEntry>
      <c:legendEntry>
        <c:idx val="3"/>
        <c:delete val="1"/>
      </c:legendEntry>
      <c:layout>
        <c:manualLayout>
          <c:xMode val="edge"/>
          <c:yMode val="edge"/>
          <c:x val="0.69311923140974674"/>
          <c:y val="0.261148613559605"/>
          <c:w val="0.24965209830886226"/>
          <c:h val="6.5950870638698991E-2"/>
        </c:manualLayout>
      </c:layout>
      <c:overlay val="0"/>
      <c:spPr>
        <a:solidFill>
          <a:srgbClr val="FFFFFF"/>
        </a:solidFill>
        <a:ln w="3175">
          <a:solidFill>
            <a:srgbClr val="000000"/>
          </a:solidFill>
          <a:prstDash val="solid"/>
        </a:ln>
      </c:spPr>
    </c:legend>
    <c:plotVisOnly val="0"/>
    <c:dispBlanksAs val="gap"/>
    <c:showDLblsOverMax val="0"/>
  </c:chart>
  <c:spPr>
    <a:solidFill>
      <a:schemeClr val="tx1"/>
    </a:solidFill>
    <a:ln w="19050">
      <a:solidFill>
        <a:srgbClr val="D5AC3A"/>
      </a:solidFill>
      <a:prstDash val="solid"/>
    </a:ln>
  </c:spPr>
  <c:txPr>
    <a:bodyPr/>
    <a:lstStyle/>
    <a:p>
      <a:pPr>
        <a:defRPr sz="1100" b="0" i="0" u="none" strike="noStrike" baseline="0">
          <a:solidFill>
            <a:schemeClr val="accent6">
              <a:lumMod val="75000"/>
            </a:schemeClr>
          </a:solidFill>
          <a:latin typeface="Arial"/>
          <a:ea typeface="Arial"/>
          <a:cs typeface="Arial"/>
        </a:defRPr>
      </a:pPr>
      <a:endParaRPr lang="en-US"/>
    </a:p>
  </c:txPr>
  <c:printSettings>
    <c:headerFooter alignWithMargins="0"/>
    <c:pageMargins b="1" l="0.75000000000000522" r="0.75000000000000522" t="1" header="0.5" footer="0.5"/>
    <c:pageSetup/>
  </c:printSettings>
  <c:userShapes r:id="rId1"/>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5.gif"/><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jpg"/><Relationship Id="rId3" Type="http://schemas.openxmlformats.org/officeDocument/2006/relationships/hyperlink" Target="#'RandomORG Trading Simulator'!A1"/><Relationship Id="rId7" Type="http://schemas.openxmlformats.org/officeDocument/2006/relationships/hyperlink" Target="http://www.dayTradingLife.com" TargetMode="External"/><Relationship Id="rId2" Type="http://schemas.openxmlformats.org/officeDocument/2006/relationships/image" Target="../media/image8.png"/><Relationship Id="rId1" Type="http://schemas.openxmlformats.org/officeDocument/2006/relationships/image" Target="../media/image7.jpg"/><Relationship Id="rId6" Type="http://schemas.openxmlformats.org/officeDocument/2006/relationships/image" Target="../media/image5.gif"/><Relationship Id="rId5" Type="http://schemas.openxmlformats.org/officeDocument/2006/relationships/image" Target="../media/image10.jpg"/><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8" Type="http://schemas.openxmlformats.org/officeDocument/2006/relationships/hyperlink" Target="http://www.xl-central.com" TargetMode="External"/><Relationship Id="rId3" Type="http://schemas.openxmlformats.org/officeDocument/2006/relationships/image" Target="../media/image13.png"/><Relationship Id="rId7" Type="http://schemas.openxmlformats.org/officeDocument/2006/relationships/image" Target="../media/image15.png"/><Relationship Id="rId2" Type="http://schemas.openxmlformats.org/officeDocument/2006/relationships/hyperlink" Target="http://www.andypope.info/" TargetMode="External"/><Relationship Id="rId1" Type="http://schemas.openxmlformats.org/officeDocument/2006/relationships/image" Target="../media/image12.png"/><Relationship Id="rId6" Type="http://schemas.openxmlformats.org/officeDocument/2006/relationships/hyperlink" Target="http://www.random.org/integers/" TargetMode="External"/><Relationship Id="rId11" Type="http://schemas.openxmlformats.org/officeDocument/2006/relationships/image" Target="../media/image17.png"/><Relationship Id="rId5" Type="http://schemas.openxmlformats.org/officeDocument/2006/relationships/image" Target="../media/image14.png"/><Relationship Id="rId10" Type="http://schemas.openxmlformats.org/officeDocument/2006/relationships/hyperlink" Target="http://www.exceldesignsolutions.com/" TargetMode="External"/><Relationship Id="rId4" Type="http://schemas.openxmlformats.org/officeDocument/2006/relationships/hyperlink" Target="http://www.teylyn.com/" TargetMode="External"/><Relationship Id="rId9"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67400</xdr:colOff>
      <xdr:row>0</xdr:row>
      <xdr:rowOff>9525</xdr:rowOff>
    </xdr:from>
    <xdr:to>
      <xdr:col>28</xdr:col>
      <xdr:colOff>12508</xdr:colOff>
      <xdr:row>50</xdr:row>
      <xdr:rowOff>189864</xdr:rowOff>
    </xdr:to>
    <xdr:pic>
      <xdr:nvPicPr>
        <xdr:cNvPr id="1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7000" y="9525"/>
          <a:ext cx="16404308" cy="10248264"/>
        </a:xfrm>
        <a:prstGeom prst="rect">
          <a:avLst/>
        </a:prstGeom>
      </xdr:spPr>
    </xdr:pic>
    <xdr:clientData/>
  </xdr:twoCellAnchor>
  <xdr:twoCellAnchor>
    <xdr:from>
      <xdr:col>11</xdr:col>
      <xdr:colOff>523875</xdr:colOff>
      <xdr:row>8</xdr:row>
      <xdr:rowOff>190499</xdr:rowOff>
    </xdr:from>
    <xdr:to>
      <xdr:col>18</xdr:col>
      <xdr:colOff>333375</xdr:colOff>
      <xdr:row>11</xdr:row>
      <xdr:rowOff>133349</xdr:rowOff>
    </xdr:to>
    <xdr:sp macro="" textlink="">
      <xdr:nvSpPr>
        <xdr:cNvPr id="2" name="TextBox 1"/>
        <xdr:cNvSpPr txBox="1"/>
      </xdr:nvSpPr>
      <xdr:spPr>
        <a:xfrm>
          <a:off x="7229475" y="1733549"/>
          <a:ext cx="4076700" cy="866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4000">
              <a:ln>
                <a:solidFill>
                  <a:schemeClr val="tx1"/>
                </a:solidFill>
              </a:ln>
              <a:solidFill>
                <a:srgbClr val="D5AC3A"/>
              </a:solidFill>
              <a:effectLst>
                <a:glow rad="101600">
                  <a:schemeClr val="bg1">
                    <a:alpha val="60000"/>
                  </a:schemeClr>
                </a:glow>
                <a:reflection blurRad="6350" stA="55000" endA="300" endPos="45500" dir="5400000" sy="-100000" algn="bl" rotWithShape="0"/>
              </a:effectLst>
            </a:rPr>
            <a:t>Goodbye...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9525</xdr:colOff>
      <xdr:row>22</xdr:row>
      <xdr:rowOff>19049</xdr:rowOff>
    </xdr:from>
    <xdr:to>
      <xdr:col>40</xdr:col>
      <xdr:colOff>9525</xdr:colOff>
      <xdr:row>67</xdr:row>
      <xdr:rowOff>104774</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4762</xdr:colOff>
      <xdr:row>68</xdr:row>
      <xdr:rowOff>3050</xdr:rowOff>
    </xdr:from>
    <xdr:to>
      <xdr:col>40</xdr:col>
      <xdr:colOff>4762</xdr:colOff>
      <xdr:row>128</xdr:row>
      <xdr:rowOff>107824</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0</xdr:colOff>
          <xdr:row>10</xdr:row>
          <xdr:rowOff>19050</xdr:rowOff>
        </xdr:from>
        <xdr:to>
          <xdr:col>5</xdr:col>
          <xdr:colOff>962025</xdr:colOff>
          <xdr:row>11</xdr:row>
          <xdr:rowOff>0</xdr:rowOff>
        </xdr:to>
        <xdr:sp macro="" textlink="">
          <xdr:nvSpPr>
            <xdr:cNvPr id="1029" name="Button 5" hidden="1">
              <a:extLst>
                <a:ext uri="{63B3BB69-23CF-44E3-9099-C40C66FF867C}">
                  <a14:compatExt spid="_x0000_s1029"/>
                </a:ext>
              </a:extLst>
            </xdr:cNvPr>
            <xdr:cNvSpPr/>
          </xdr:nvSpPr>
          <xdr:spPr bwMode="auto">
            <a:xfrm>
              <a:off x="0" y="0"/>
              <a:ext cx="0" cy="0"/>
            </a:xfrm>
            <a:prstGeom prst="rect">
              <a:avLst/>
            </a:prstGeom>
            <a:noFill/>
            <a:ln w="9525">
              <a:miter lim="800000"/>
              <a:headEnd/>
              <a:tailEnd/>
            </a:ln>
          </xdr:spPr>
          <xdr:txBody>
            <a:bodyPr vertOverflow="clip" wrap="square" lIns="0" tIns="0" rIns="0" bIns="0" anchor="ctr" upright="1"/>
            <a:lstStyle/>
            <a:p>
              <a:pPr algn="ctr" rtl="0">
                <a:defRPr sz="1000"/>
              </a:pPr>
              <a:r>
                <a:rPr lang="en-GB" sz="1200" b="1" i="0" u="none" strike="noStrike" baseline="0">
                  <a:solidFill>
                    <a:srgbClr val="000000"/>
                  </a:solidFill>
                  <a:latin typeface="Calibri"/>
                  <a:cs typeface="Calibri"/>
                </a:rPr>
                <a:t>CLEAR ALL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4</xdr:row>
          <xdr:rowOff>19050</xdr:rowOff>
        </xdr:from>
        <xdr:to>
          <xdr:col>5</xdr:col>
          <xdr:colOff>971550</xdr:colOff>
          <xdr:row>4</xdr:row>
          <xdr:rowOff>219075</xdr:rowOff>
        </xdr:to>
        <xdr:sp macro="" textlink="">
          <xdr:nvSpPr>
            <xdr:cNvPr id="1030" name="Button 6" hidden="1">
              <a:extLst>
                <a:ext uri="{63B3BB69-23CF-44E3-9099-C40C66FF867C}">
                  <a14:compatExt spid="_x0000_s1030"/>
                </a:ext>
              </a:extLst>
            </xdr:cNvPr>
            <xdr:cNvSpPr/>
          </xdr:nvSpPr>
          <xdr:spPr bwMode="auto">
            <a:xfrm>
              <a:off x="0" y="0"/>
              <a:ext cx="0" cy="0"/>
            </a:xfrm>
            <a:prstGeom prst="rect">
              <a:avLst/>
            </a:prstGeom>
            <a:noFill/>
            <a:ln w="9525">
              <a:miter lim="800000"/>
              <a:headEnd/>
              <a:tailEnd/>
            </a:ln>
          </xdr:spPr>
          <xdr:txBody>
            <a:bodyPr vertOverflow="clip" wrap="square" lIns="0" tIns="0" rIns="0" bIns="0" anchor="ctr" upright="1"/>
            <a:lstStyle/>
            <a:p>
              <a:pPr algn="ctr" rtl="0">
                <a:defRPr sz="1000"/>
              </a:pPr>
              <a:r>
                <a:rPr lang="en-GB" sz="1200" b="1" i="0" u="none" strike="noStrike" baseline="0">
                  <a:solidFill>
                    <a:srgbClr val="000000"/>
                  </a:solidFill>
                  <a:latin typeface="Calibri"/>
                  <a:cs typeface="Calibri"/>
                </a:rPr>
                <a:t>CALCULATE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9525</xdr:colOff>
          <xdr:row>4</xdr:row>
          <xdr:rowOff>9525</xdr:rowOff>
        </xdr:from>
        <xdr:to>
          <xdr:col>3</xdr:col>
          <xdr:colOff>495300</xdr:colOff>
          <xdr:row>4</xdr:row>
          <xdr:rowOff>209550</xdr:rowOff>
        </xdr:to>
        <xdr:sp macro="" textlink="">
          <xdr:nvSpPr>
            <xdr:cNvPr id="1034" name="Button 10" hidden="1">
              <a:extLst>
                <a:ext uri="{63B3BB69-23CF-44E3-9099-C40C66FF867C}">
                  <a14:compatExt spid="_x0000_s1034"/>
                </a:ext>
              </a:extLst>
            </xdr:cNvPr>
            <xdr:cNvSpPr/>
          </xdr:nvSpPr>
          <xdr:spPr bwMode="auto">
            <a:xfrm>
              <a:off x="0" y="0"/>
              <a:ext cx="0" cy="0"/>
            </a:xfrm>
            <a:prstGeom prst="rect">
              <a:avLst/>
            </a:prstGeom>
            <a:noFill/>
            <a:ln w="9525">
              <a:miter lim="800000"/>
              <a:headEnd/>
              <a:tailEnd/>
            </a:ln>
          </xdr:spPr>
          <xdr:txBody>
            <a:bodyPr vertOverflow="clip" wrap="square" lIns="0" tIns="0" rIns="0" bIns="0" anchor="ctr" upright="1"/>
            <a:lstStyle/>
            <a:p>
              <a:pPr algn="ctr" rtl="0">
                <a:defRPr sz="1000"/>
              </a:pPr>
              <a:r>
                <a:rPr lang="en-GB" sz="1100" b="1" i="0" u="none" strike="noStrike" baseline="0">
                  <a:solidFill>
                    <a:srgbClr val="000000"/>
                  </a:solidFill>
                  <a:latin typeface="Calibri"/>
                  <a:cs typeface="Calibri"/>
                </a:rPr>
                <a:t>NOTES</a:t>
              </a:r>
            </a:p>
          </xdr:txBody>
        </xdr:sp>
        <xdr:clientData fPrintsWithSheet="0"/>
      </xdr:twoCellAnchor>
    </mc:Choice>
    <mc:Fallback/>
  </mc:AlternateContent>
  <xdr:twoCellAnchor editAs="oneCell">
    <xdr:from>
      <xdr:col>32</xdr:col>
      <xdr:colOff>400050</xdr:colOff>
      <xdr:row>135</xdr:row>
      <xdr:rowOff>85726</xdr:rowOff>
    </xdr:from>
    <xdr:to>
      <xdr:col>34</xdr:col>
      <xdr:colOff>297975</xdr:colOff>
      <xdr:row>136</xdr:row>
      <xdr:rowOff>38100</xdr:rowOff>
    </xdr:to>
    <xdr:pic>
      <xdr:nvPicPr>
        <xdr:cNvPr id="8" name="Picture 7" descr="Copyscape Banner.gif"/>
        <xdr:cNvPicPr>
          <a:picLocks noChangeAspect="1"/>
        </xdr:cNvPicPr>
      </xdr:nvPicPr>
      <xdr:blipFill>
        <a:blip xmlns:r="http://schemas.openxmlformats.org/officeDocument/2006/relationships" r:embed="rId3" cstate="print"/>
        <a:stretch>
          <a:fillRect/>
        </a:stretch>
      </xdr:blipFill>
      <xdr:spPr>
        <a:xfrm>
          <a:off x="11115675" y="25612726"/>
          <a:ext cx="2326800" cy="152399"/>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0.2691</cdr:x>
      <cdr:y>0.01681</cdr:y>
    </cdr:from>
    <cdr:to>
      <cdr:x>0.72917</cdr:x>
      <cdr:y>0.07563</cdr:y>
    </cdr:to>
    <cdr:sp macro="" textlink="">
      <cdr:nvSpPr>
        <cdr:cNvPr id="2" name="TextBox 1"/>
        <cdr:cNvSpPr txBox="1"/>
      </cdr:nvSpPr>
      <cdr:spPr>
        <a:xfrm xmlns:a="http://schemas.openxmlformats.org/drawingml/2006/main">
          <a:off x="1476375" y="76200"/>
          <a:ext cx="252412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0.16995</cdr:x>
      <cdr:y>0.0276</cdr:y>
    </cdr:from>
    <cdr:to>
      <cdr:x>0.82649</cdr:x>
      <cdr:y>0.08805</cdr:y>
    </cdr:to>
    <cdr:sp macro="" textlink="">
      <cdr:nvSpPr>
        <cdr:cNvPr id="3" name="TextBox 2"/>
        <cdr:cNvSpPr txBox="1"/>
      </cdr:nvSpPr>
      <cdr:spPr>
        <a:xfrm xmlns:a="http://schemas.openxmlformats.org/drawingml/2006/main">
          <a:off x="1822739" y="253952"/>
          <a:ext cx="7041490" cy="556209"/>
        </a:xfrm>
        <a:prstGeom xmlns:a="http://schemas.openxmlformats.org/drawingml/2006/main" prst="rect">
          <a:avLst/>
        </a:prstGeom>
        <a:blipFill xmlns:a="http://schemas.openxmlformats.org/drawingml/2006/main">
          <a:blip xmlns:r="http://schemas.openxmlformats.org/officeDocument/2006/relationships" r:embed="rId1">
            <a:extLst>
              <a:ext uri="{BEBA8EAE-BF5A-486C-A8C5-ECC9F3942E4B}">
                <a14:imgProps xmlns:a14="http://schemas.microsoft.com/office/drawing/2010/main">
                  <a14:imgLayer r:embed="rId2">
                    <a14:imgEffect>
                      <a14:brightnessContrast bright="-35000" contrast="10000"/>
                    </a14:imgEffect>
                  </a14:imgLayer>
                </a14:imgProps>
              </a:ext>
            </a:extLst>
          </a:blip>
          <a:stretch>
            <a:fillRect/>
          </a:stretch>
        </a:blipFill>
        <a:effectLst xmlns:a="http://schemas.openxmlformats.org/drawingml/2006/main">
          <a:glow rad="88900">
            <a:schemeClr val="tx1"/>
          </a:glow>
          <a:softEdge rad="12700"/>
        </a:effectLst>
      </cdr:spPr>
      <cdr:txBody>
        <a:bodyPr xmlns:a="http://schemas.openxmlformats.org/drawingml/2006/main" vertOverflow="clip" wrap="square" rtlCol="0" anchor="ctr"/>
        <a:lstStyle xmlns:a="http://schemas.openxmlformats.org/drawingml/2006/main"/>
        <a:p xmlns:a="http://schemas.openxmlformats.org/drawingml/2006/main">
          <a:pPr algn="ctr"/>
          <a:r>
            <a:rPr lang="en-GB" sz="1600" b="0" u="sng">
              <a:solidFill>
                <a:srgbClr val="D5AC3A"/>
              </a:solidFill>
              <a:latin typeface="+mn-lt"/>
            </a:rPr>
            <a:t>Simulated (£) Returns </a:t>
          </a:r>
          <a:r>
            <a:rPr lang="en-GB" sz="1600" b="0" u="sng" baseline="0">
              <a:solidFill>
                <a:srgbClr val="D5AC3A"/>
              </a:solidFill>
              <a:latin typeface="+mn-lt"/>
            </a:rPr>
            <a:t> - </a:t>
          </a:r>
          <a:r>
            <a:rPr lang="en-GB" sz="1600" b="0" u="sng">
              <a:solidFill>
                <a:srgbClr val="D5AC3A"/>
              </a:solidFill>
              <a:latin typeface="+mn-lt"/>
            </a:rPr>
            <a:t> </a:t>
          </a:r>
          <a:r>
            <a:rPr lang="en-GB" sz="1600" b="0" i="1" u="sng">
              <a:solidFill>
                <a:srgbClr val="D5AC3A"/>
              </a:solidFill>
              <a:latin typeface="+mn-lt"/>
            </a:rPr>
            <a:t>500</a:t>
          </a:r>
          <a:r>
            <a:rPr lang="en-GB" sz="1600" b="0" u="sng">
              <a:solidFill>
                <a:srgbClr val="D5AC3A"/>
              </a:solidFill>
              <a:latin typeface="+mn-lt"/>
            </a:rPr>
            <a:t> Trade</a:t>
          </a:r>
          <a:r>
            <a:rPr lang="en-GB" sz="1600" b="0" u="sng" baseline="0">
              <a:solidFill>
                <a:srgbClr val="D5AC3A"/>
              </a:solidFill>
              <a:latin typeface="+mn-lt"/>
            </a:rPr>
            <a:t> Equity Graph -</a:t>
          </a:r>
          <a:r>
            <a:rPr lang="en-GB" sz="1600" b="0" u="sng">
              <a:solidFill>
                <a:srgbClr val="D5AC3A"/>
              </a:solidFill>
              <a:latin typeface="+mn-lt"/>
            </a:rPr>
            <a:t>  </a:t>
          </a:r>
          <a:r>
            <a:rPr lang="en-GB" sz="1600" b="0" i="1" u="sng">
              <a:solidFill>
                <a:srgbClr val="D5AC3A"/>
              </a:solidFill>
              <a:latin typeface="+mn-lt"/>
            </a:rPr>
            <a:t>50</a:t>
          </a:r>
          <a:r>
            <a:rPr lang="en-GB" sz="1600" b="0" u="sng">
              <a:solidFill>
                <a:srgbClr val="D5AC3A"/>
              </a:solidFill>
              <a:latin typeface="+mn-lt"/>
            </a:rPr>
            <a:t> Period Moving Average</a:t>
          </a:r>
        </a:p>
      </cdr:txBody>
    </cdr:sp>
  </cdr:relSizeAnchor>
  <cdr:relSizeAnchor xmlns:cdr="http://schemas.openxmlformats.org/drawingml/2006/chartDrawing">
    <cdr:from>
      <cdr:x>0.72915</cdr:x>
      <cdr:y>0.92717</cdr:y>
    </cdr:from>
    <cdr:to>
      <cdr:x>0.90503</cdr:x>
      <cdr:y>0.96724</cdr:y>
    </cdr:to>
    <cdr:sp macro="" textlink="">
      <cdr:nvSpPr>
        <cdr:cNvPr id="4" name="TextBox 3"/>
        <cdr:cNvSpPr txBox="1"/>
      </cdr:nvSpPr>
      <cdr:spPr>
        <a:xfrm xmlns:a="http://schemas.openxmlformats.org/drawingml/2006/main">
          <a:off x="6250667" y="6570459"/>
          <a:ext cx="1507731" cy="28396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200" b="1" u="none">
              <a:solidFill>
                <a:schemeClr val="bg1"/>
              </a:solidFill>
            </a:rPr>
            <a:t>No. of </a:t>
          </a:r>
          <a:r>
            <a:rPr lang="en-GB" sz="1100" b="1" u="none">
              <a:solidFill>
                <a:schemeClr val="bg1"/>
              </a:solidFill>
            </a:rPr>
            <a:t>Trades</a:t>
          </a:r>
        </a:p>
      </cdr:txBody>
    </cdr:sp>
  </cdr:relSizeAnchor>
</c:userShapes>
</file>

<file path=xl/drawings/drawing4.xml><?xml version="1.0" encoding="utf-8"?>
<c:userShapes xmlns:c="http://schemas.openxmlformats.org/drawingml/2006/chart">
  <cdr:relSizeAnchor xmlns:cdr="http://schemas.openxmlformats.org/drawingml/2006/chartDrawing">
    <cdr:from>
      <cdr:x>0.22199</cdr:x>
      <cdr:y>0.01399</cdr:y>
    </cdr:from>
    <cdr:to>
      <cdr:x>0.74241</cdr:x>
      <cdr:y>0.06091</cdr:y>
    </cdr:to>
    <cdr:sp macro="" textlink="">
      <cdr:nvSpPr>
        <cdr:cNvPr id="2" name="TextBox 1"/>
        <cdr:cNvSpPr txBox="1"/>
      </cdr:nvSpPr>
      <cdr:spPr>
        <a:xfrm xmlns:a="http://schemas.openxmlformats.org/drawingml/2006/main">
          <a:off x="2019300" y="161925"/>
          <a:ext cx="4733925" cy="542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0.23037</cdr:x>
      <cdr:y>0.01399</cdr:y>
    </cdr:from>
    <cdr:to>
      <cdr:x>0.76754</cdr:x>
      <cdr:y>0.13333</cdr:y>
    </cdr:to>
    <cdr:sp macro="" textlink="">
      <cdr:nvSpPr>
        <cdr:cNvPr id="3" name="TextBox 2"/>
        <cdr:cNvSpPr txBox="1"/>
      </cdr:nvSpPr>
      <cdr:spPr>
        <a:xfrm xmlns:a="http://schemas.openxmlformats.org/drawingml/2006/main">
          <a:off x="2095500" y="161925"/>
          <a:ext cx="4886325" cy="1381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0.29738</cdr:x>
      <cdr:y>0.18436</cdr:y>
    </cdr:from>
    <cdr:to>
      <cdr:x>0.78429</cdr:x>
      <cdr:y>0.32593</cdr:y>
    </cdr:to>
    <cdr:sp macro="" textlink="">
      <cdr:nvSpPr>
        <cdr:cNvPr id="4" name="TextBox 3"/>
        <cdr:cNvSpPr txBox="1"/>
      </cdr:nvSpPr>
      <cdr:spPr>
        <a:xfrm xmlns:a="http://schemas.openxmlformats.org/drawingml/2006/main">
          <a:off x="2705100" y="2133600"/>
          <a:ext cx="4429125" cy="1638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0.23486</cdr:x>
      <cdr:y>0.00987</cdr:y>
    </cdr:from>
    <cdr:to>
      <cdr:x>0.76865</cdr:x>
      <cdr:y>0.05653</cdr:y>
    </cdr:to>
    <cdr:sp macro="" textlink="">
      <cdr:nvSpPr>
        <cdr:cNvPr id="5" name="TextBox 4"/>
        <cdr:cNvSpPr txBox="1"/>
      </cdr:nvSpPr>
      <cdr:spPr>
        <a:xfrm xmlns:a="http://schemas.openxmlformats.org/drawingml/2006/main">
          <a:off x="2518922" y="114269"/>
          <a:ext cx="5724966" cy="539905"/>
        </a:xfrm>
        <a:prstGeom xmlns:a="http://schemas.openxmlformats.org/drawingml/2006/main" prst="rect">
          <a:avLst/>
        </a:prstGeom>
        <a:blipFill xmlns:a="http://schemas.openxmlformats.org/drawingml/2006/main">
          <a:blip xmlns:r="http://schemas.openxmlformats.org/officeDocument/2006/relationships" r:embed="rId1">
            <a:extLst>
              <a:ext uri="{BEBA8EAE-BF5A-486C-A8C5-ECC9F3942E4B}">
                <a14:imgProps xmlns:a14="http://schemas.microsoft.com/office/drawing/2010/main">
                  <a14:imgLayer r:embed="rId2">
                    <a14:imgEffect>
                      <a14:brightnessContrast bright="-35000" contrast="10000"/>
                    </a14:imgEffect>
                  </a14:imgLayer>
                </a14:imgProps>
              </a:ext>
            </a:extLst>
          </a:blip>
          <a:stretch>
            <a:fillRect/>
          </a:stretch>
        </a:blipFill>
        <a:effectLst xmlns:a="http://schemas.openxmlformats.org/drawingml/2006/main">
          <a:glow rad="88900">
            <a:schemeClr val="tx1">
              <a:alpha val="99000"/>
            </a:schemeClr>
          </a:glow>
        </a:effectLst>
      </cdr:spPr>
      <cdr:txBody>
        <a:bodyPr xmlns:a="http://schemas.openxmlformats.org/drawingml/2006/main" vertOverflow="clip" wrap="square" rtlCol="0" anchor="ctr"/>
        <a:lstStyle xmlns:a="http://schemas.openxmlformats.org/drawingml/2006/main"/>
        <a:p xmlns:a="http://schemas.openxmlformats.org/drawingml/2006/main">
          <a:pPr algn="ctr"/>
          <a:r>
            <a:rPr lang="en-GB" sz="1600" b="0" i="1" u="sng">
              <a:solidFill>
                <a:srgbClr val="D5AC3A"/>
              </a:solidFill>
              <a:latin typeface="+mn-lt"/>
            </a:rPr>
            <a:t>500</a:t>
          </a:r>
          <a:r>
            <a:rPr lang="en-GB" sz="1600" b="0" u="sng">
              <a:solidFill>
                <a:srgbClr val="D5AC3A"/>
              </a:solidFill>
              <a:latin typeface="+mn-lt"/>
            </a:rPr>
            <a:t> Trade WIN / LOSS Frequency Distribution</a:t>
          </a: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18</xdr:col>
      <xdr:colOff>35720</xdr:colOff>
      <xdr:row>4</xdr:row>
      <xdr:rowOff>1</xdr:rowOff>
    </xdr:from>
    <xdr:to>
      <xdr:col>27</xdr:col>
      <xdr:colOff>203551</xdr:colOff>
      <xdr:row>42</xdr:row>
      <xdr:rowOff>27719</xdr:rowOff>
    </xdr:to>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13033" y="845345"/>
          <a:ext cx="5275612" cy="6957155"/>
        </a:xfrm>
        <a:prstGeom prst="rect">
          <a:avLst/>
        </a:prstGeom>
      </xdr:spPr>
    </xdr:pic>
    <xdr:clientData/>
  </xdr:twoCellAnchor>
  <xdr:twoCellAnchor>
    <xdr:from>
      <xdr:col>11</xdr:col>
      <xdr:colOff>323851</xdr:colOff>
      <xdr:row>22</xdr:row>
      <xdr:rowOff>65876</xdr:rowOff>
    </xdr:from>
    <xdr:to>
      <xdr:col>16</xdr:col>
      <xdr:colOff>238126</xdr:colOff>
      <xdr:row>40</xdr:row>
      <xdr:rowOff>94451</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95926" y="4180676"/>
          <a:ext cx="3200400" cy="3200400"/>
        </a:xfrm>
        <a:prstGeom prst="rect">
          <a:avLst/>
        </a:prstGeom>
      </xdr:spPr>
    </xdr:pic>
    <xdr:clientData/>
  </xdr:twoCellAnchor>
  <xdr:twoCellAnchor>
    <xdr:from>
      <xdr:col>13</xdr:col>
      <xdr:colOff>85725</xdr:colOff>
      <xdr:row>31</xdr:row>
      <xdr:rowOff>130793</xdr:rowOff>
    </xdr:from>
    <xdr:to>
      <xdr:col>15</xdr:col>
      <xdr:colOff>285750</xdr:colOff>
      <xdr:row>39</xdr:row>
      <xdr:rowOff>12179</xdr:rowOff>
    </xdr:to>
    <xdr:pic>
      <xdr:nvPicPr>
        <xdr:cNvPr id="10" name="Picture 9">
          <a:hlinkClick xmlns:r="http://schemas.openxmlformats.org/officeDocument/2006/relationships" r:id="rId3" tooltip="Click To Start Simulator!"/>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477000" y="5760068"/>
          <a:ext cx="1419225" cy="1414911"/>
        </a:xfrm>
        <a:prstGeom prst="rect">
          <a:avLst/>
        </a:prstGeom>
      </xdr:spPr>
    </xdr:pic>
    <xdr:clientData/>
  </xdr:twoCellAnchor>
  <xdr:twoCellAnchor>
    <xdr:from>
      <xdr:col>7</xdr:col>
      <xdr:colOff>19050</xdr:colOff>
      <xdr:row>6</xdr:row>
      <xdr:rowOff>9525</xdr:rowOff>
    </xdr:from>
    <xdr:to>
      <xdr:col>16</xdr:col>
      <xdr:colOff>591450</xdr:colOff>
      <xdr:row>30</xdr:row>
      <xdr:rowOff>155475</xdr:rowOff>
    </xdr:to>
    <xdr:sp macro="" textlink="">
      <xdr:nvSpPr>
        <xdr:cNvPr id="3" name="Rectangle 2"/>
        <xdr:cNvSpPr/>
      </xdr:nvSpPr>
      <xdr:spPr>
        <a:xfrm>
          <a:off x="2752725" y="1238250"/>
          <a:ext cx="6058800" cy="4356000"/>
        </a:xfrm>
        <a:prstGeom prst="rect">
          <a:avLst/>
        </a:prstGeom>
        <a:blipFill dpi="0" rotWithShape="1">
          <a:blip xmlns:r="http://schemas.openxmlformats.org/officeDocument/2006/relationships" r:embed="rId5">
            <a:alphaModFix amt="15000"/>
          </a:blip>
          <a:srcRect/>
          <a:stretch>
            <a:fillRect/>
          </a:stretch>
        </a:blipFill>
        <a:ln>
          <a:noFill/>
        </a:ln>
        <a:effectLst>
          <a:softEdge rad="317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ln>
              <a:noFill/>
            </a:ln>
          </a:endParaRPr>
        </a:p>
      </xdr:txBody>
    </xdr:sp>
    <xdr:clientData/>
  </xdr:twoCellAnchor>
  <xdr:twoCellAnchor editAs="oneCell">
    <xdr:from>
      <xdr:col>21</xdr:col>
      <xdr:colOff>104762</xdr:colOff>
      <xdr:row>58</xdr:row>
      <xdr:rowOff>28576</xdr:rowOff>
    </xdr:from>
    <xdr:to>
      <xdr:col>24</xdr:col>
      <xdr:colOff>504812</xdr:colOff>
      <xdr:row>58</xdr:row>
      <xdr:rowOff>180976</xdr:rowOff>
    </xdr:to>
    <xdr:pic>
      <xdr:nvPicPr>
        <xdr:cNvPr id="9" name="Picture 8" descr="Copyscape Banner.gif"/>
        <xdr:cNvPicPr>
          <a:picLocks noChangeAspect="1"/>
        </xdr:cNvPicPr>
      </xdr:nvPicPr>
      <xdr:blipFill>
        <a:blip xmlns:r="http://schemas.openxmlformats.org/officeDocument/2006/relationships" r:embed="rId6" cstate="print"/>
        <a:stretch>
          <a:fillRect/>
        </a:stretch>
      </xdr:blipFill>
      <xdr:spPr>
        <a:xfrm>
          <a:off x="10572737" y="11315701"/>
          <a:ext cx="2228850" cy="152400"/>
        </a:xfrm>
        <a:prstGeom prst="rect">
          <a:avLst/>
        </a:prstGeom>
      </xdr:spPr>
    </xdr:pic>
    <xdr:clientData/>
  </xdr:twoCellAnchor>
  <xdr:twoCellAnchor>
    <xdr:from>
      <xdr:col>22</xdr:col>
      <xdr:colOff>11906</xdr:colOff>
      <xdr:row>35</xdr:row>
      <xdr:rowOff>11908</xdr:rowOff>
    </xdr:from>
    <xdr:to>
      <xdr:col>25</xdr:col>
      <xdr:colOff>158210</xdr:colOff>
      <xdr:row>36</xdr:row>
      <xdr:rowOff>77630</xdr:rowOff>
    </xdr:to>
    <xdr:pic>
      <xdr:nvPicPr>
        <xdr:cNvPr id="7" name="Picture 6">
          <a:hlinkClick xmlns:r="http://schemas.openxmlformats.org/officeDocument/2006/relationships" r:id="rId7" tooltip="Click Me To Go To My website :-)"/>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060906" y="6405564"/>
          <a:ext cx="1967960" cy="184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488722</xdr:colOff>
      <xdr:row>56</xdr:row>
      <xdr:rowOff>123986</xdr:rowOff>
    </xdr:to>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184436" cy="10791986"/>
        </a:xfrm>
        <a:prstGeom prst="rect">
          <a:avLst/>
        </a:prstGeom>
      </xdr:spPr>
    </xdr:pic>
    <xdr:clientData/>
  </xdr:twoCellAnchor>
  <xdr:twoCellAnchor>
    <xdr:from>
      <xdr:col>16</xdr:col>
      <xdr:colOff>438150</xdr:colOff>
      <xdr:row>28</xdr:row>
      <xdr:rowOff>47625</xdr:rowOff>
    </xdr:from>
    <xdr:to>
      <xdr:col>19</xdr:col>
      <xdr:colOff>199826</xdr:colOff>
      <xdr:row>29</xdr:row>
      <xdr:rowOff>38077</xdr:rowOff>
    </xdr:to>
    <xdr:pic>
      <xdr:nvPicPr>
        <xdr:cNvPr id="6" name="Picture 5" title="Www.AndyPope.info">
          <a:hlinkClick xmlns:r="http://schemas.openxmlformats.org/officeDocument/2006/relationships" r:id="rId2" tooltip="Click Me To Go To Andy's website :-)"/>
        </xdr:cNvPr>
        <xdr:cNvPicPr>
          <a:picLocks noChangeAspect="1"/>
        </xdr:cNvPicPr>
      </xdr:nvPicPr>
      <xdr:blipFill>
        <a:blip xmlns:r="http://schemas.openxmlformats.org/officeDocument/2006/relationships" r:embed="rId3"/>
        <a:stretch>
          <a:fillRect/>
        </a:stretch>
      </xdr:blipFill>
      <xdr:spPr>
        <a:xfrm>
          <a:off x="10191750" y="5381625"/>
          <a:ext cx="1590476" cy="180952"/>
        </a:xfrm>
        <a:prstGeom prst="rect">
          <a:avLst/>
        </a:prstGeom>
      </xdr:spPr>
    </xdr:pic>
    <xdr:clientData/>
  </xdr:twoCellAnchor>
  <xdr:twoCellAnchor>
    <xdr:from>
      <xdr:col>17</xdr:col>
      <xdr:colOff>200025</xdr:colOff>
      <xdr:row>16</xdr:row>
      <xdr:rowOff>85725</xdr:rowOff>
    </xdr:from>
    <xdr:to>
      <xdr:col>20</xdr:col>
      <xdr:colOff>380749</xdr:colOff>
      <xdr:row>17</xdr:row>
      <xdr:rowOff>123796</xdr:rowOff>
    </xdr:to>
    <xdr:pic>
      <xdr:nvPicPr>
        <xdr:cNvPr id="7" name="Picture 6" descr="Teylyn's Website" title="http://www.teylyn.com">
          <a:hlinkClick xmlns:r="http://schemas.openxmlformats.org/officeDocument/2006/relationships" r:id="rId4" tooltip="Click Me To Go To Teylyn's Website :-)"/>
        </xdr:cNvPr>
        <xdr:cNvPicPr>
          <a:picLocks noChangeAspect="1"/>
        </xdr:cNvPicPr>
      </xdr:nvPicPr>
      <xdr:blipFill>
        <a:blip xmlns:r="http://schemas.openxmlformats.org/officeDocument/2006/relationships" r:embed="rId5"/>
        <a:stretch>
          <a:fillRect/>
        </a:stretch>
      </xdr:blipFill>
      <xdr:spPr>
        <a:xfrm>
          <a:off x="10563225" y="3133725"/>
          <a:ext cx="2009524" cy="228571"/>
        </a:xfrm>
        <a:prstGeom prst="rect">
          <a:avLst/>
        </a:prstGeom>
      </xdr:spPr>
    </xdr:pic>
    <xdr:clientData/>
  </xdr:twoCellAnchor>
  <xdr:twoCellAnchor>
    <xdr:from>
      <xdr:col>3</xdr:col>
      <xdr:colOff>466725</xdr:colOff>
      <xdr:row>38</xdr:row>
      <xdr:rowOff>133350</xdr:rowOff>
    </xdr:from>
    <xdr:to>
      <xdr:col>5</xdr:col>
      <xdr:colOff>361811</xdr:colOff>
      <xdr:row>39</xdr:row>
      <xdr:rowOff>133326</xdr:rowOff>
    </xdr:to>
    <xdr:pic>
      <xdr:nvPicPr>
        <xdr:cNvPr id="8" name="Picture 7" descr="Random.ORG Website" title="http://www.random.org/integers/">
          <a:hlinkClick xmlns:r="http://schemas.openxmlformats.org/officeDocument/2006/relationships" r:id="rId6" tooltip="Clcik Me To Go To Random.ORG Website :-)"/>
        </xdr:cNvPr>
        <xdr:cNvPicPr>
          <a:picLocks noChangeAspect="1"/>
        </xdr:cNvPicPr>
      </xdr:nvPicPr>
      <xdr:blipFill>
        <a:blip xmlns:r="http://schemas.openxmlformats.org/officeDocument/2006/relationships" r:embed="rId7"/>
        <a:stretch>
          <a:fillRect/>
        </a:stretch>
      </xdr:blipFill>
      <xdr:spPr>
        <a:xfrm>
          <a:off x="2295525" y="7372350"/>
          <a:ext cx="1114286" cy="190476"/>
        </a:xfrm>
        <a:prstGeom prst="rect">
          <a:avLst/>
        </a:prstGeom>
      </xdr:spPr>
    </xdr:pic>
    <xdr:clientData/>
  </xdr:twoCellAnchor>
  <xdr:twoCellAnchor>
    <xdr:from>
      <xdr:col>8</xdr:col>
      <xdr:colOff>104775</xdr:colOff>
      <xdr:row>28</xdr:row>
      <xdr:rowOff>152400</xdr:rowOff>
    </xdr:from>
    <xdr:to>
      <xdr:col>11</xdr:col>
      <xdr:colOff>371213</xdr:colOff>
      <xdr:row>29</xdr:row>
      <xdr:rowOff>180948</xdr:rowOff>
    </xdr:to>
    <xdr:pic>
      <xdr:nvPicPr>
        <xdr:cNvPr id="9" name="Picture 8" descr="Dominic's website" title="http://www.xl-central.com">
          <a:hlinkClick xmlns:r="http://schemas.openxmlformats.org/officeDocument/2006/relationships" r:id="rId8" tooltip="Click Me To Go To Dominic's Website :-)"/>
        </xdr:cNvPr>
        <xdr:cNvPicPr>
          <a:picLocks noChangeAspect="1"/>
        </xdr:cNvPicPr>
      </xdr:nvPicPr>
      <xdr:blipFill>
        <a:blip xmlns:r="http://schemas.openxmlformats.org/officeDocument/2006/relationships" r:embed="rId9"/>
        <a:stretch>
          <a:fillRect/>
        </a:stretch>
      </xdr:blipFill>
      <xdr:spPr>
        <a:xfrm>
          <a:off x="4981575" y="5486400"/>
          <a:ext cx="2095238" cy="219048"/>
        </a:xfrm>
        <a:prstGeom prst="rect">
          <a:avLst/>
        </a:prstGeom>
      </xdr:spPr>
    </xdr:pic>
    <xdr:clientData/>
  </xdr:twoCellAnchor>
  <xdr:twoCellAnchor>
    <xdr:from>
      <xdr:col>3</xdr:col>
      <xdr:colOff>457200</xdr:colOff>
      <xdr:row>21</xdr:row>
      <xdr:rowOff>66675</xdr:rowOff>
    </xdr:from>
    <xdr:to>
      <xdr:col>8</xdr:col>
      <xdr:colOff>390153</xdr:colOff>
      <xdr:row>22</xdr:row>
      <xdr:rowOff>123794</xdr:rowOff>
    </xdr:to>
    <xdr:pic>
      <xdr:nvPicPr>
        <xdr:cNvPr id="10" name="Picture 9" descr="Jon Von Der Heyden's Website" title="http://www.exceldesignsolutions.com">
          <a:hlinkClick xmlns:r="http://schemas.openxmlformats.org/officeDocument/2006/relationships" r:id="rId10" tooltip="Click Me To Go To Jon's Website :-)"/>
        </xdr:cNvPr>
        <xdr:cNvPicPr>
          <a:picLocks noChangeAspect="1"/>
        </xdr:cNvPicPr>
      </xdr:nvPicPr>
      <xdr:blipFill>
        <a:blip xmlns:r="http://schemas.openxmlformats.org/officeDocument/2006/relationships" r:embed="rId11"/>
        <a:stretch>
          <a:fillRect/>
        </a:stretch>
      </xdr:blipFill>
      <xdr:spPr>
        <a:xfrm>
          <a:off x="2286000" y="4067175"/>
          <a:ext cx="2980953" cy="24761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hyperlink" Target="http://www.daytradinglife.com/" TargetMode="External"/><Relationship Id="rId7" Type="http://schemas.openxmlformats.org/officeDocument/2006/relationships/ctrlProp" Target="../ctrlProps/ctrlProp1.xml"/><Relationship Id="rId2" Type="http://schemas.openxmlformats.org/officeDocument/2006/relationships/hyperlink" Target="mailto:traderdowboy@gmail.com?subject=Monte%20Carlo%20Expectancy%20Sheet%20-%20DayTradingLife.com" TargetMode="External"/><Relationship Id="rId1" Type="http://schemas.openxmlformats.org/officeDocument/2006/relationships/hyperlink" Target="mailto:traderdowboy@gmail.com" TargetMode="External"/><Relationship Id="rId6" Type="http://schemas.openxmlformats.org/officeDocument/2006/relationships/vmlDrawing" Target="../drawings/vmlDrawing1.vml"/><Relationship Id="rId5" Type="http://schemas.openxmlformats.org/officeDocument/2006/relationships/drawing" Target="../drawings/drawing2.xml"/><Relationship Id="rId10" Type="http://schemas.openxmlformats.org/officeDocument/2006/relationships/comments" Target="../comments1.xml"/><Relationship Id="rId4" Type="http://schemas.openxmlformats.org/officeDocument/2006/relationships/printerSettings" Target="../printerSettings/printerSettings1.bin"/><Relationship Id="rId9"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traderdowboy@gmail.com" TargetMode="External"/><Relationship Id="rId1" Type="http://schemas.openxmlformats.org/officeDocument/2006/relationships/hyperlink" Target="http://daytradinglife.com/category/day-trader-quotations/" TargetMode="External"/><Relationship Id="rId4"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L6:R12"/>
  <sheetViews>
    <sheetView showRowColHeaders="0" tabSelected="1" workbookViewId="0">
      <selection activeCell="XFD2" sqref="XFD2"/>
    </sheetView>
  </sheetViews>
  <sheetFormatPr defaultRowHeight="15"/>
  <cols>
    <col min="1" max="16384" width="9.140625" style="85"/>
  </cols>
  <sheetData>
    <row r="6" spans="12:18" ht="15.75" thickBot="1"/>
    <row r="7" spans="12:18" ht="15.75" customHeight="1" thickTop="1">
      <c r="L7" s="262" t="s">
        <v>63</v>
      </c>
      <c r="M7" s="263"/>
      <c r="N7" s="263"/>
      <c r="O7" s="263"/>
      <c r="P7" s="263"/>
      <c r="Q7" s="263"/>
      <c r="R7" s="264"/>
    </row>
    <row r="8" spans="12:18" ht="15" customHeight="1">
      <c r="L8" s="265"/>
      <c r="M8" s="266"/>
      <c r="N8" s="266"/>
      <c r="O8" s="266"/>
      <c r="P8" s="266"/>
      <c r="Q8" s="266"/>
      <c r="R8" s="267"/>
    </row>
    <row r="9" spans="12:18" ht="15.75" customHeight="1" thickBot="1">
      <c r="L9" s="268"/>
      <c r="M9" s="269"/>
      <c r="N9" s="269"/>
      <c r="O9" s="269"/>
      <c r="P9" s="269"/>
      <c r="Q9" s="269"/>
      <c r="R9" s="270"/>
    </row>
    <row r="10" spans="12:18" ht="28.5" customHeight="1" thickTop="1"/>
    <row r="11" spans="12:18" ht="28.5" customHeight="1"/>
    <row r="12" spans="12:18" ht="28.5" customHeight="1"/>
  </sheetData>
  <mergeCells count="1">
    <mergeCell ref="L7:R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sheetPr>
  <dimension ref="A1:BA545"/>
  <sheetViews>
    <sheetView showGridLines="0" showRowColHeaders="0" zoomScale="90" zoomScaleNormal="90" workbookViewId="0">
      <pane ySplit="21" topLeftCell="A22" activePane="bottomLeft" state="frozen"/>
      <selection pane="bottomLeft" activeCell="F6" sqref="F6"/>
    </sheetView>
  </sheetViews>
  <sheetFormatPr defaultColWidth="0" defaultRowHeight="15" zeroHeight="1"/>
  <cols>
    <col min="1" max="1" width="4.7109375" style="88" customWidth="1"/>
    <col min="2" max="2" width="1.140625" style="88" customWidth="1"/>
    <col min="3" max="3" width="12.7109375" style="88" customWidth="1"/>
    <col min="4" max="5" width="7.7109375" style="88" customWidth="1"/>
    <col min="6" max="6" width="14.7109375" style="88" customWidth="1"/>
    <col min="7" max="7" width="1.7109375" style="88" customWidth="1"/>
    <col min="8" max="8" width="1.85546875" style="88" customWidth="1"/>
    <col min="9" max="9" width="1.7109375" style="88" customWidth="1"/>
    <col min="10" max="10" width="11.7109375" style="88" customWidth="1"/>
    <col min="11" max="12" width="12.7109375" style="88" customWidth="1"/>
    <col min="13" max="13" width="13.7109375" style="88" customWidth="1"/>
    <col min="14" max="14" width="6.28515625" style="88" hidden="1" customWidth="1"/>
    <col min="15" max="15" width="8.28515625" style="88" hidden="1" customWidth="1"/>
    <col min="16" max="16" width="8.140625" style="88" hidden="1" customWidth="1"/>
    <col min="17" max="18" width="8.42578125" style="88" hidden="1" customWidth="1"/>
    <col min="19" max="19" width="14" style="88" hidden="1" customWidth="1"/>
    <col min="20" max="20" width="8.42578125" style="88" hidden="1" customWidth="1"/>
    <col min="21" max="21" width="14.140625" style="88" hidden="1" customWidth="1"/>
    <col min="22" max="22" width="8.42578125" style="88" hidden="1" customWidth="1"/>
    <col min="23" max="24" width="18.7109375" style="88" hidden="1" customWidth="1"/>
    <col min="25" max="25" width="1.7109375" style="88" customWidth="1"/>
    <col min="26" max="26" width="11.7109375" style="88" customWidth="1"/>
    <col min="27" max="28" width="12.7109375" style="88" customWidth="1"/>
    <col min="29" max="29" width="13.7109375" style="88" customWidth="1"/>
    <col min="30" max="30" width="1.7109375" style="88" customWidth="1"/>
    <col min="31" max="31" width="1.85546875" style="88" customWidth="1"/>
    <col min="32" max="32" width="1.7109375" style="88" customWidth="1"/>
    <col min="33" max="33" width="23.7109375" style="88" customWidth="1"/>
    <col min="34" max="34" width="12.7109375" style="88" customWidth="1"/>
    <col min="35" max="35" width="13.7109375" style="88" customWidth="1"/>
    <col min="36" max="36" width="1.7109375" style="88" customWidth="1"/>
    <col min="37" max="37" width="24.7109375" style="88" customWidth="1"/>
    <col min="38" max="38" width="12.7109375" style="88" customWidth="1"/>
    <col min="39" max="39" width="13.7109375" style="88" customWidth="1"/>
    <col min="40" max="40" width="1.7109375" style="88" customWidth="1"/>
    <col min="41" max="43" width="8.42578125" style="88" customWidth="1"/>
    <col min="44" max="53" width="9.140625" style="88" customWidth="1"/>
    <col min="54" max="16384" width="9.140625" style="88" hidden="1"/>
  </cols>
  <sheetData>
    <row r="1" spans="1:53" ht="15" customHeight="1">
      <c r="A1" s="85"/>
      <c r="B1" s="85"/>
      <c r="C1" s="86"/>
      <c r="D1" s="86"/>
      <c r="E1" s="87"/>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row>
    <row r="2" spans="1:53" ht="18.75" customHeight="1">
      <c r="A2" s="85"/>
      <c r="B2" s="285" t="s">
        <v>27</v>
      </c>
      <c r="C2" s="285"/>
      <c r="D2" s="285"/>
      <c r="E2" s="285"/>
      <c r="F2" s="285"/>
      <c r="G2" s="285"/>
      <c r="H2" s="89"/>
      <c r="I2" s="274" t="s">
        <v>613</v>
      </c>
      <c r="J2" s="274"/>
      <c r="K2" s="274"/>
      <c r="L2" s="274"/>
      <c r="M2" s="274"/>
      <c r="N2" s="274"/>
      <c r="O2" s="274"/>
      <c r="P2" s="274"/>
      <c r="Q2" s="274"/>
      <c r="R2" s="274"/>
      <c r="S2" s="274"/>
      <c r="T2" s="274"/>
      <c r="U2" s="274"/>
      <c r="V2" s="274"/>
      <c r="W2" s="274"/>
      <c r="X2" s="274"/>
      <c r="Y2" s="274"/>
      <c r="Z2" s="274"/>
      <c r="AA2" s="274"/>
      <c r="AB2" s="273" t="s">
        <v>31</v>
      </c>
      <c r="AC2" s="273"/>
      <c r="AD2" s="273"/>
      <c r="AE2" s="89"/>
      <c r="AF2" s="273" t="s">
        <v>23</v>
      </c>
      <c r="AG2" s="273"/>
      <c r="AH2" s="273"/>
      <c r="AI2" s="273"/>
      <c r="AJ2" s="273"/>
      <c r="AK2" s="90" t="s">
        <v>58</v>
      </c>
      <c r="AL2" s="475" t="str">
        <f ca="1">TEXT(NOW(),"dd/mm/yyyy   hh:mm AM/PM")</f>
        <v>13/07/2017   03:55 PM</v>
      </c>
      <c r="AM2" s="475"/>
      <c r="AN2" s="475"/>
      <c r="AO2" s="85"/>
      <c r="AP2" s="85"/>
      <c r="AQ2" s="85"/>
      <c r="AR2" s="85"/>
      <c r="AS2" s="85"/>
      <c r="AT2" s="85"/>
      <c r="AU2" s="85"/>
      <c r="AV2" s="85"/>
      <c r="AW2" s="85"/>
      <c r="AX2" s="85"/>
      <c r="AY2" s="85"/>
      <c r="AZ2" s="85"/>
      <c r="BA2" s="85"/>
    </row>
    <row r="3" spans="1:53" ht="7.5" customHeight="1" thickBot="1">
      <c r="A3" s="85"/>
      <c r="B3" s="85"/>
      <c r="C3" s="85"/>
      <c r="D3" s="85"/>
      <c r="E3" s="85"/>
      <c r="F3" s="85"/>
      <c r="G3" s="85"/>
      <c r="H3" s="91"/>
      <c r="I3" s="91"/>
      <c r="J3" s="92"/>
      <c r="K3" s="91"/>
      <c r="L3" s="91"/>
      <c r="M3" s="91"/>
      <c r="N3" s="91"/>
      <c r="O3" s="91"/>
      <c r="P3" s="91"/>
      <c r="Q3" s="91"/>
      <c r="R3" s="91"/>
      <c r="S3" s="91"/>
      <c r="T3" s="91"/>
      <c r="U3" s="91"/>
      <c r="V3" s="91"/>
      <c r="W3" s="91"/>
      <c r="X3" s="91"/>
      <c r="Y3" s="91"/>
      <c r="Z3" s="91"/>
      <c r="AA3" s="91"/>
      <c r="AB3" s="91"/>
      <c r="AC3" s="91"/>
      <c r="AD3" s="91"/>
      <c r="AE3" s="91"/>
      <c r="AF3" s="91"/>
      <c r="AG3" s="91"/>
      <c r="AH3" s="93"/>
      <c r="AI3" s="93"/>
      <c r="AJ3" s="93"/>
      <c r="AK3" s="94"/>
      <c r="AL3" s="94"/>
      <c r="AM3" s="94"/>
      <c r="AN3" s="94"/>
      <c r="AO3" s="94"/>
      <c r="AP3" s="94"/>
      <c r="AQ3" s="94"/>
      <c r="AR3" s="85"/>
      <c r="AS3" s="85"/>
      <c r="AT3" s="85"/>
      <c r="AU3" s="85"/>
      <c r="AV3" s="85"/>
      <c r="AW3" s="85"/>
      <c r="AX3" s="85"/>
      <c r="AY3" s="85"/>
      <c r="AZ3" s="85"/>
      <c r="BA3" s="85"/>
    </row>
    <row r="4" spans="1:53" ht="20.25" customHeight="1" thickTop="1" thickBot="1">
      <c r="A4" s="86"/>
      <c r="B4" s="95"/>
      <c r="C4" s="309" t="s">
        <v>67</v>
      </c>
      <c r="D4" s="309"/>
      <c r="E4" s="309"/>
      <c r="F4" s="309"/>
      <c r="G4" s="96"/>
      <c r="H4" s="85"/>
      <c r="I4" s="97"/>
      <c r="J4" s="386" t="s">
        <v>64</v>
      </c>
      <c r="K4" s="386"/>
      <c r="L4" s="386"/>
      <c r="M4" s="386"/>
      <c r="N4" s="386"/>
      <c r="O4" s="386"/>
      <c r="P4" s="386"/>
      <c r="Q4" s="386"/>
      <c r="R4" s="386"/>
      <c r="S4" s="386"/>
      <c r="T4" s="386"/>
      <c r="U4" s="386"/>
      <c r="V4" s="386"/>
      <c r="W4" s="386"/>
      <c r="X4" s="386"/>
      <c r="Y4" s="386"/>
      <c r="Z4" s="386"/>
      <c r="AA4" s="386"/>
      <c r="AB4" s="386"/>
      <c r="AC4" s="386"/>
      <c r="AD4" s="98"/>
      <c r="AE4" s="99"/>
      <c r="AF4" s="100"/>
      <c r="AG4" s="457" t="s">
        <v>65</v>
      </c>
      <c r="AH4" s="458"/>
      <c r="AI4" s="458"/>
      <c r="AJ4" s="458"/>
      <c r="AK4" s="458"/>
      <c r="AL4" s="458"/>
      <c r="AM4" s="101"/>
      <c r="AN4" s="102"/>
      <c r="AO4" s="99"/>
      <c r="AP4" s="103"/>
      <c r="AQ4" s="99"/>
      <c r="AR4" s="85"/>
      <c r="AS4" s="85"/>
      <c r="AT4" s="85"/>
      <c r="AU4" s="85"/>
      <c r="AV4" s="85"/>
      <c r="AW4" s="85"/>
      <c r="AX4" s="85"/>
      <c r="AY4" s="85"/>
      <c r="AZ4" s="85"/>
      <c r="BA4" s="85"/>
    </row>
    <row r="5" spans="1:53" ht="18" thickTop="1">
      <c r="A5" s="85"/>
      <c r="B5" s="66"/>
      <c r="C5" s="459" t="s">
        <v>26</v>
      </c>
      <c r="D5" s="460"/>
      <c r="E5" s="396" t="s">
        <v>9</v>
      </c>
      <c r="F5" s="397"/>
      <c r="G5" s="104"/>
      <c r="H5" s="85"/>
      <c r="I5" s="105"/>
      <c r="J5" s="301" t="s">
        <v>29</v>
      </c>
      <c r="K5" s="302"/>
      <c r="L5" s="303">
        <f>IF(COUNTA($F$6:$F$10)=5,COUNTIF($L$24:$L$523,"LOSS"),"")</f>
        <v>230</v>
      </c>
      <c r="M5" s="304"/>
      <c r="N5" s="12"/>
      <c r="O5" s="12"/>
      <c r="P5" s="12"/>
      <c r="Q5" s="12"/>
      <c r="R5" s="12"/>
      <c r="S5" s="12"/>
      <c r="T5" s="12"/>
      <c r="U5" s="12"/>
      <c r="V5" s="12"/>
      <c r="W5" s="12"/>
      <c r="X5" s="12"/>
      <c r="Y5" s="10"/>
      <c r="Z5" s="310" t="s">
        <v>30</v>
      </c>
      <c r="AA5" s="311"/>
      <c r="AB5" s="316">
        <f>IF(COUNTA($F$6:$F$10)=5,COUNTIF($L$24:$L$523,"WIN"),"")</f>
        <v>270</v>
      </c>
      <c r="AC5" s="317"/>
      <c r="AD5" s="106"/>
      <c r="AE5" s="99"/>
      <c r="AF5" s="107"/>
      <c r="AG5" s="83" t="s">
        <v>29</v>
      </c>
      <c r="AH5" s="354">
        <f>IF(COUNTA($F$6:$F$10)=5,COUNTIF($L$24:$L$123,"LOSS"),"")</f>
        <v>41</v>
      </c>
      <c r="AI5" s="355"/>
      <c r="AJ5" s="108"/>
      <c r="AK5" s="109" t="s">
        <v>30</v>
      </c>
      <c r="AL5" s="322">
        <f>IF(COUNTA($F$6:$F$10)=5,COUNTIF($L$24:$L$123,"WIN"),"")</f>
        <v>59</v>
      </c>
      <c r="AM5" s="323"/>
      <c r="AN5" s="110"/>
      <c r="AO5" s="111"/>
      <c r="AP5" s="85"/>
      <c r="AQ5" s="111"/>
      <c r="AR5" s="85"/>
      <c r="AS5" s="85"/>
      <c r="AT5" s="85"/>
      <c r="AU5" s="85"/>
      <c r="AV5" s="85"/>
      <c r="AW5" s="85"/>
      <c r="AX5" s="85"/>
      <c r="AY5" s="85"/>
      <c r="AZ5" s="85"/>
      <c r="BA5" s="85"/>
    </row>
    <row r="6" spans="1:53" ht="17.25">
      <c r="A6" s="85"/>
      <c r="B6" s="112"/>
      <c r="C6" s="73" t="s">
        <v>0</v>
      </c>
      <c r="D6" s="69"/>
      <c r="E6" s="70"/>
      <c r="F6" s="51">
        <v>10000</v>
      </c>
      <c r="G6" s="113"/>
      <c r="H6" s="2"/>
      <c r="I6" s="25"/>
      <c r="J6" s="378" t="s">
        <v>41</v>
      </c>
      <c r="K6" s="379"/>
      <c r="L6" s="461">
        <f>IF(COUNTA($F$6:$F$10)=5,SUMPRODUCT((L24:L523="LOSS")*((F25:F524)-(F24:F523)))-F10,"")</f>
        <v>-35691.470492521279</v>
      </c>
      <c r="M6" s="462"/>
      <c r="N6" s="114"/>
      <c r="O6" s="114"/>
      <c r="P6" s="114"/>
      <c r="Q6" s="114"/>
      <c r="R6" s="114"/>
      <c r="S6" s="114"/>
      <c r="T6" s="114"/>
      <c r="U6" s="114"/>
      <c r="V6" s="114"/>
      <c r="W6" s="114"/>
      <c r="X6" s="114"/>
      <c r="Y6" s="11"/>
      <c r="Z6" s="312" t="s">
        <v>42</v>
      </c>
      <c r="AA6" s="313"/>
      <c r="AB6" s="346">
        <f>IF(COUNTA($F$6:$F$10)=5,SUMPRODUCT((L24:L523="WIN")*((F25:F524)-(F24:F523)))-F10,"")</f>
        <v>50513.262574523163</v>
      </c>
      <c r="AC6" s="347"/>
      <c r="AD6" s="106"/>
      <c r="AE6" s="99"/>
      <c r="AF6" s="107"/>
      <c r="AG6" s="37" t="s">
        <v>41</v>
      </c>
      <c r="AH6" s="356">
        <f>IF(COUNTA($F$6:$F$10)=5,SUMPRODUCT((L24:L123="LOSS")*((F25:F124)-(F24:F123)))-F10,"")</f>
        <v>-5001.51229289408</v>
      </c>
      <c r="AI6" s="357"/>
      <c r="AJ6" s="115"/>
      <c r="AK6" s="116" t="s">
        <v>42</v>
      </c>
      <c r="AL6" s="324">
        <f>IF(COUNTA($F$6:$F$10)=5,SUMPRODUCT((L24:L123="WIN")*((F25:F124)-(F24:F123)))-F10,"")</f>
        <v>8388.8190896069154</v>
      </c>
      <c r="AM6" s="325"/>
      <c r="AN6" s="27"/>
      <c r="AO6" s="15"/>
      <c r="AP6" s="15"/>
      <c r="AQ6" s="15"/>
      <c r="AR6" s="85"/>
      <c r="AS6" s="85"/>
      <c r="AT6" s="85"/>
      <c r="AU6" s="85"/>
      <c r="AV6" s="85"/>
      <c r="AW6" s="85"/>
      <c r="AX6" s="85"/>
      <c r="AY6" s="85"/>
      <c r="AZ6" s="85"/>
      <c r="BA6" s="85"/>
    </row>
    <row r="7" spans="1:53" ht="18" customHeight="1" thickBot="1">
      <c r="A7" s="85"/>
      <c r="B7" s="112"/>
      <c r="C7" s="73" t="s">
        <v>1</v>
      </c>
      <c r="D7" s="69"/>
      <c r="E7" s="70"/>
      <c r="F7" s="52">
        <v>0.01</v>
      </c>
      <c r="G7" s="117"/>
      <c r="H7" s="118"/>
      <c r="I7" s="119"/>
      <c r="J7" s="376" t="s">
        <v>40</v>
      </c>
      <c r="K7" s="377"/>
      <c r="L7" s="281">
        <f>IF(COUNTA($F$6:$F$10)=5,L5/(L5+AB5),"")</f>
        <v>0.46</v>
      </c>
      <c r="M7" s="282"/>
      <c r="N7" s="13"/>
      <c r="O7" s="13"/>
      <c r="P7" s="13"/>
      <c r="Q7" s="13"/>
      <c r="R7" s="13"/>
      <c r="S7" s="13"/>
      <c r="T7" s="13"/>
      <c r="U7" s="13"/>
      <c r="V7" s="13"/>
      <c r="W7" s="13"/>
      <c r="X7" s="13"/>
      <c r="Y7" s="3"/>
      <c r="Z7" s="314" t="s">
        <v>43</v>
      </c>
      <c r="AA7" s="315"/>
      <c r="AB7" s="342">
        <f>IF(COUNTA($F$6:$F$10)=5,(COUNTIF($D$24:$D$523,"&lt;" &amp; $F$8)/500),"")</f>
        <v>0.54</v>
      </c>
      <c r="AC7" s="343"/>
      <c r="AD7" s="106"/>
      <c r="AE7" s="99"/>
      <c r="AF7" s="107"/>
      <c r="AG7" s="36" t="s">
        <v>40</v>
      </c>
      <c r="AH7" s="358">
        <f>IF(COUNTA($F$6:$F$10)=5,AH5/(AH5+AL5),"")</f>
        <v>0.41</v>
      </c>
      <c r="AI7" s="359"/>
      <c r="AJ7" s="120"/>
      <c r="AK7" s="121" t="s">
        <v>49</v>
      </c>
      <c r="AL7" s="326">
        <f>IF(COUNTA($F$6:$F$10)=5,(COUNTIF($D$24:$D$123,"&lt;" &amp; $F$8)/100),"")</f>
        <v>0.59</v>
      </c>
      <c r="AM7" s="327"/>
      <c r="AN7" s="122"/>
      <c r="AO7" s="123"/>
      <c r="AP7" s="123"/>
      <c r="AQ7" s="123"/>
      <c r="AR7" s="85"/>
      <c r="AS7" s="85"/>
      <c r="AT7" s="85"/>
      <c r="AU7" s="85"/>
      <c r="AV7" s="85"/>
      <c r="AW7" s="85"/>
      <c r="AX7" s="85"/>
      <c r="AY7" s="85"/>
      <c r="AZ7" s="85"/>
      <c r="BA7" s="85"/>
    </row>
    <row r="8" spans="1:53" ht="18.75" customHeight="1" thickTop="1">
      <c r="A8" s="85"/>
      <c r="B8" s="112"/>
      <c r="C8" s="73" t="s">
        <v>10</v>
      </c>
      <c r="D8" s="69"/>
      <c r="E8" s="70"/>
      <c r="F8" s="53">
        <v>55</v>
      </c>
      <c r="G8" s="124"/>
      <c r="H8" s="125"/>
      <c r="I8" s="126"/>
      <c r="J8" s="297" t="s">
        <v>39</v>
      </c>
      <c r="K8" s="298"/>
      <c r="L8" s="299">
        <f>IF(COUNTA($F$6:$F$10)=5,(L6/L5),"")</f>
        <v>-155.18030648922294</v>
      </c>
      <c r="M8" s="300"/>
      <c r="N8" s="12"/>
      <c r="O8" s="12"/>
      <c r="P8" s="12"/>
      <c r="Q8" s="12"/>
      <c r="R8" s="12"/>
      <c r="S8" s="12"/>
      <c r="T8" s="12"/>
      <c r="U8" s="12"/>
      <c r="V8" s="12"/>
      <c r="W8" s="12"/>
      <c r="X8" s="12"/>
      <c r="Y8" s="4"/>
      <c r="Z8" s="310" t="s">
        <v>44</v>
      </c>
      <c r="AA8" s="311"/>
      <c r="AB8" s="344">
        <f>IF(COUNTA($F$6:$F$10)=5,(AB6/AB5),"")</f>
        <v>187.08615768341912</v>
      </c>
      <c r="AC8" s="345"/>
      <c r="AD8" s="127"/>
      <c r="AE8" s="128"/>
      <c r="AF8" s="129"/>
      <c r="AG8" s="33" t="s">
        <v>39</v>
      </c>
      <c r="AH8" s="360">
        <f>IF(COUNTA($F$6:$F$10)=5,(AH6/AH5),"")</f>
        <v>-121.98810470473366</v>
      </c>
      <c r="AI8" s="361"/>
      <c r="AJ8" s="130"/>
      <c r="AK8" s="131" t="s">
        <v>44</v>
      </c>
      <c r="AL8" s="328">
        <f>IF(COUNTA($F$6:$F$10)=5,(AL6/AL5),"")</f>
        <v>142.1833744001172</v>
      </c>
      <c r="AM8" s="329"/>
      <c r="AN8" s="122"/>
      <c r="AO8" s="123"/>
      <c r="AP8" s="123"/>
      <c r="AQ8" s="123"/>
      <c r="AR8" s="85"/>
      <c r="AS8" s="85"/>
      <c r="AT8" s="85"/>
      <c r="AU8" s="85"/>
      <c r="AV8" s="85"/>
      <c r="AW8" s="85"/>
      <c r="AX8" s="85"/>
      <c r="AY8" s="85"/>
      <c r="AZ8" s="85"/>
      <c r="BA8" s="85"/>
    </row>
    <row r="9" spans="1:53" ht="18.75" customHeight="1" thickBot="1">
      <c r="A9" s="85"/>
      <c r="B9" s="112"/>
      <c r="C9" s="73" t="s">
        <v>570</v>
      </c>
      <c r="D9" s="69"/>
      <c r="E9" s="70"/>
      <c r="F9" s="54">
        <v>1.2</v>
      </c>
      <c r="G9" s="132"/>
      <c r="H9" s="118"/>
      <c r="I9" s="119"/>
      <c r="J9" s="352" t="s">
        <v>38</v>
      </c>
      <c r="K9" s="353"/>
      <c r="L9" s="402">
        <f>IF(COUNTA($F$6:$F$10)=5,(L8/L6),"")</f>
        <v>4.3478260869565218E-3</v>
      </c>
      <c r="M9" s="403"/>
      <c r="N9" s="99"/>
      <c r="O9" s="99"/>
      <c r="P9" s="99"/>
      <c r="Q9" s="99"/>
      <c r="R9" s="99"/>
      <c r="S9" s="99"/>
      <c r="T9" s="99"/>
      <c r="U9" s="99"/>
      <c r="V9" s="99"/>
      <c r="W9" s="99"/>
      <c r="X9" s="99"/>
      <c r="Y9" s="5"/>
      <c r="Z9" s="314" t="s">
        <v>45</v>
      </c>
      <c r="AA9" s="315"/>
      <c r="AB9" s="342">
        <f>IF(COUNTA($F$6:$F$10)=5,(AB8/AB6),"")</f>
        <v>3.7037037037037034E-3</v>
      </c>
      <c r="AC9" s="343"/>
      <c r="AD9" s="127"/>
      <c r="AE9" s="128"/>
      <c r="AF9" s="129"/>
      <c r="AG9" s="34" t="s">
        <v>38</v>
      </c>
      <c r="AH9" s="362">
        <f>IF(COUNTA($F$6:$F$10)=5,(AH8/AH6),"")</f>
        <v>2.4390243902439025E-2</v>
      </c>
      <c r="AI9" s="363"/>
      <c r="AJ9" s="31"/>
      <c r="AK9" s="133" t="s">
        <v>45</v>
      </c>
      <c r="AL9" s="330">
        <f>IF(COUNTA($F$6:$F$10)=5,(AL8/AL6),"")</f>
        <v>1.6949152542372881E-2</v>
      </c>
      <c r="AM9" s="331"/>
      <c r="AN9" s="122"/>
      <c r="AO9" s="123"/>
      <c r="AP9" s="123"/>
      <c r="AQ9" s="123"/>
      <c r="AR9" s="85"/>
      <c r="AS9" s="85"/>
      <c r="AT9" s="85"/>
      <c r="AU9" s="85"/>
      <c r="AV9" s="85"/>
      <c r="AW9" s="85"/>
      <c r="AX9" s="85"/>
      <c r="AY9" s="85"/>
      <c r="AZ9" s="85"/>
      <c r="BA9" s="85"/>
    </row>
    <row r="10" spans="1:53" ht="18.75" customHeight="1" thickTop="1" thickBot="1">
      <c r="A10" s="85"/>
      <c r="B10" s="112"/>
      <c r="C10" s="74" t="s">
        <v>2</v>
      </c>
      <c r="D10" s="71"/>
      <c r="E10" s="72"/>
      <c r="F10" s="55">
        <v>0</v>
      </c>
      <c r="G10" s="134"/>
      <c r="H10" s="118"/>
      <c r="I10" s="119"/>
      <c r="J10" s="301" t="s">
        <v>53</v>
      </c>
      <c r="K10" s="302"/>
      <c r="L10" s="56">
        <f t="array" ref="L10">IF(COUNTA($F$6:$F$10)=5,MAX(FREQUENCY(IF(L24:L523="LOSS",ROW(L24:L523)),IF(L24:L523&lt;&gt;"LOSS",ROW(L24:L523)))),"")</f>
        <v>7</v>
      </c>
      <c r="M10" s="57" t="str">
        <f t="array" aca="1" ref="M10" ca="1">IF(N(L10),ADDRESS(MATCH(L10,COUNTIF(OFFSET(L24:L523,ROW(INDIRECT("1:"&amp;ROWS(L24:L523)-L10+1))-1,0,L10),"LOSS"),0)+ROW(L24)-1,COLUMN(L24),4)&amp;":"&amp;ADDRESS(MATCH(L10,COUNTIF(OFFSET(L24:L523,ROW(INDIRECT("1:"&amp;ROWS(L24:L523)-L10+1))-1,0,L10),"LOSS"),0)+L10-1+ROW(L24)-1,COLUMN(L24),4),"")</f>
        <v>L192:L198</v>
      </c>
      <c r="N10" s="99"/>
      <c r="O10" s="99"/>
      <c r="P10" s="99"/>
      <c r="Q10" s="99"/>
      <c r="R10" s="99"/>
      <c r="S10" s="99"/>
      <c r="T10" s="99"/>
      <c r="U10" s="99"/>
      <c r="V10" s="99"/>
      <c r="W10" s="99"/>
      <c r="X10" s="99"/>
      <c r="Y10" s="58"/>
      <c r="Z10" s="310" t="s">
        <v>51</v>
      </c>
      <c r="AA10" s="311"/>
      <c r="AB10" s="135">
        <f t="array" ref="AB10">IF(COUNTA($F$6:$F$10)=5,MAX(FREQUENCY(IF(L24:L523="WIN",ROW(L24:L523)),IF(L24:L523&lt;&gt;"WIN",ROW(L24:L523)))),"")</f>
        <v>9</v>
      </c>
      <c r="AC10" s="136" t="str">
        <f t="array" aca="1" ref="AC10" ca="1">IF(N(AB10),ADDRESS(MATCH(AB10,COUNTIF(OFFSET(L24:L523,ROW(INDIRECT("1:"&amp;ROWS(L24:L523)-AB10+1))-1,0,AB10),"WIN"),0)+ROW(L24)-1,COLUMN(L24),4)&amp;":"&amp;ADDRESS(MATCH(AB10,COUNTIF(OFFSET(L24:L523,ROW(INDIRECT("1:"&amp;ROWS(L24:L523)-AB10+1))-1,0,AB10),"WIN"),0)+AB10-1+ROW(L24)-1,COLUMN(L24),4),"")</f>
        <v>L318:L326</v>
      </c>
      <c r="AD10" s="137"/>
      <c r="AE10" s="128"/>
      <c r="AF10" s="129" t="s">
        <v>28</v>
      </c>
      <c r="AG10" s="35" t="s">
        <v>53</v>
      </c>
      <c r="AH10" s="138">
        <f t="array" ref="AH10">IF(COUNTA($F$6:$F$10)=5,MAX(FREQUENCY(IF(L24:L123="LOSS",ROW(L24:L123)),IF(L24:L124&lt;&gt;"LOSS",ROW(L24:L123)))),"")</f>
        <v>4</v>
      </c>
      <c r="AI10" s="139" t="str">
        <f t="array" aca="1" ref="AI10" ca="1">IF(N(AH10),ADDRESS(MATCH(AH10,COUNTIF(OFFSET(L24:L123,ROW(INDIRECT("1:"&amp;ROWS(L24:L123)-AH10+1))-1,0,AH10),"LOSS"),0)+ROW(L24)-1,COLUMN(L24),4)&amp;":"&amp;ADDRESS(MATCH(AH10,COUNTIF(OFFSET(L24:L123,ROW(INDIRECT("1:"&amp;ROWS(L24:L123)-AH10+1))-1,0,AH10),"LOSS"),0)+AH10-1+ROW(L24)-1,COLUMN(L24),4),"")</f>
        <v>L96:L99</v>
      </c>
      <c r="AJ10" s="32"/>
      <c r="AK10" s="109" t="s">
        <v>51</v>
      </c>
      <c r="AL10" s="140">
        <f t="array" ref="AL10">IF(COUNTA($F$6:$F$10)=5,MAX(FREQUENCY(IF(L24:L123="WIN",ROW(L24:L123)),IF(L24:L123&lt;&gt;"WIN",ROW(L24:L123)))),"")</f>
        <v>7</v>
      </c>
      <c r="AM10" s="141" t="str">
        <f t="array" aca="1" ref="AM10" ca="1">IF(N(AL10),ADDRESS(MATCH(AL10,COUNTIF(OFFSET(L24:L123,ROW(INDIRECT("1:"&amp;ROWS(L24:L123)-AL10+1))-1,0,AL10),"WIN"),0)+ROW(L24)-1,COLUMN(L24),4)&amp;":"&amp;ADDRESS(MATCH(AL10,COUNTIF(OFFSET(L24:L123,ROW(INDIRECT("1:"&amp;ROWS(L24:L123)-AL10+1))-1,0,AL10),"WIN"),0)+AL10-1+ROW(L24)-1,COLUMN(L24),4),"")</f>
        <v>L47:L53</v>
      </c>
      <c r="AN10" s="122"/>
      <c r="AO10" s="123"/>
      <c r="AP10" s="123"/>
      <c r="AQ10" s="123"/>
      <c r="AR10" s="85"/>
      <c r="AS10" s="85"/>
      <c r="AT10" s="85"/>
      <c r="AU10" s="85"/>
      <c r="AV10" s="85"/>
      <c r="AW10" s="85"/>
      <c r="AX10" s="85"/>
      <c r="AY10" s="85"/>
      <c r="AZ10" s="85"/>
      <c r="BA10" s="85"/>
    </row>
    <row r="11" spans="1:53" ht="20.25" thickTop="1" thickBot="1">
      <c r="A11" s="85"/>
      <c r="B11" s="112"/>
      <c r="C11" s="22"/>
      <c r="D11" s="23"/>
      <c r="E11" s="23"/>
      <c r="F11" s="142"/>
      <c r="G11" s="134"/>
      <c r="H11" s="118"/>
      <c r="I11" s="119"/>
      <c r="J11" s="374" t="s">
        <v>50</v>
      </c>
      <c r="K11" s="375"/>
      <c r="L11" s="455">
        <f ca="1">IF(COUNTA($F$6:$F$10)=5,SUM(OFFSET(INDIRECT(M10),,-1,L10)),"")</f>
        <v>-990.97781307576224</v>
      </c>
      <c r="M11" s="456"/>
      <c r="N11" s="59"/>
      <c r="O11" s="60"/>
      <c r="P11" s="60"/>
      <c r="Q11" s="60"/>
      <c r="R11" s="60"/>
      <c r="S11" s="60"/>
      <c r="T11" s="60"/>
      <c r="U11" s="60"/>
      <c r="V11" s="60"/>
      <c r="W11" s="60"/>
      <c r="X11" s="60"/>
      <c r="Y11" s="38"/>
      <c r="Z11" s="372" t="s">
        <v>52</v>
      </c>
      <c r="AA11" s="373"/>
      <c r="AB11" s="283">
        <f ca="1">IF(COUNTA($F$6:$F$10)=5,SUM(OFFSET(INDIRECT(AC10),,-1,AB10)),"")</f>
        <v>1595.499491538538</v>
      </c>
      <c r="AC11" s="284"/>
      <c r="AD11" s="127"/>
      <c r="AE11" s="128"/>
      <c r="AF11" s="129"/>
      <c r="AG11" s="36" t="s">
        <v>50</v>
      </c>
      <c r="AH11" s="364">
        <f ca="1">IF(COUNTA($F$6:$F$10)=5,SUM(OFFSET(INDIRECT(AI10),,-1,AH10)),"")</f>
        <v>-513.82297221512385</v>
      </c>
      <c r="AI11" s="365"/>
      <c r="AJ11" s="143"/>
      <c r="AK11" s="48" t="s">
        <v>52</v>
      </c>
      <c r="AL11" s="338">
        <f ca="1">IF(COUNTA($F$6:$F$10)=5,SUM(OFFSET(INDIRECT(AM10),,-1,AL10)),"")</f>
        <v>961.02271480021955</v>
      </c>
      <c r="AM11" s="339"/>
      <c r="AN11" s="122"/>
      <c r="AO11" s="123"/>
      <c r="AP11" s="123"/>
      <c r="AQ11" s="123"/>
      <c r="AR11" s="85"/>
      <c r="AS11" s="85"/>
      <c r="AT11" s="85"/>
      <c r="AU11" s="85"/>
      <c r="AV11" s="85"/>
      <c r="AW11" s="85"/>
      <c r="AX11" s="85"/>
      <c r="AY11" s="85"/>
      <c r="AZ11" s="85"/>
      <c r="BA11" s="85"/>
    </row>
    <row r="12" spans="1:53" ht="6" customHeight="1" thickTop="1" thickBot="1">
      <c r="A12" s="85"/>
      <c r="B12" s="144"/>
      <c r="C12" s="67"/>
      <c r="D12" s="67"/>
      <c r="E12" s="67"/>
      <c r="F12" s="145"/>
      <c r="G12" s="146"/>
      <c r="H12" s="118"/>
      <c r="I12" s="119"/>
      <c r="J12" s="463" t="s">
        <v>37</v>
      </c>
      <c r="K12" s="464"/>
      <c r="L12" s="382">
        <f>IF(COUNTA($F$6:$F$10)=5,MIN(X24:X523),"")</f>
        <v>-990.97781307576224</v>
      </c>
      <c r="M12" s="383"/>
      <c r="N12" s="99"/>
      <c r="O12" s="99"/>
      <c r="P12" s="99"/>
      <c r="Q12" s="99"/>
      <c r="R12" s="99"/>
      <c r="S12" s="99"/>
      <c r="T12" s="99"/>
      <c r="U12" s="99"/>
      <c r="V12" s="99"/>
      <c r="W12" s="99"/>
      <c r="X12" s="99"/>
      <c r="Y12" s="20"/>
      <c r="Z12" s="396" t="s">
        <v>46</v>
      </c>
      <c r="AA12" s="397"/>
      <c r="AB12" s="286">
        <f>IF(COUNTA($F$6:$F$10)=5,MAX(W24:W523),"")</f>
        <v>1889.251073004496</v>
      </c>
      <c r="AC12" s="287"/>
      <c r="AD12" s="127"/>
      <c r="AE12" s="128"/>
      <c r="AF12" s="129"/>
      <c r="AG12" s="370" t="s">
        <v>37</v>
      </c>
      <c r="AH12" s="290">
        <f>IF(COUNTA($F$6:$F$10)=5,MIN(X24:X123),"")</f>
        <v>-513.82297221512408</v>
      </c>
      <c r="AI12" s="291"/>
      <c r="AJ12" s="147"/>
      <c r="AK12" s="340" t="s">
        <v>46</v>
      </c>
      <c r="AL12" s="318">
        <f>IF(COUNTA($F$6:$F$10)=5,MAX(W24:W123),"")</f>
        <v>961.02271480021955</v>
      </c>
      <c r="AM12" s="319"/>
      <c r="AN12" s="122"/>
      <c r="AO12" s="123"/>
      <c r="AP12" s="123"/>
      <c r="AQ12" s="123"/>
      <c r="AR12" s="85"/>
      <c r="AS12" s="85"/>
      <c r="AT12" s="85"/>
      <c r="AU12" s="85"/>
      <c r="AV12" s="85"/>
      <c r="AW12" s="85"/>
      <c r="AX12" s="85"/>
      <c r="AY12" s="85"/>
      <c r="AZ12" s="85"/>
      <c r="BA12" s="85"/>
    </row>
    <row r="13" spans="1:53" ht="12.75" customHeight="1" thickTop="1" thickBot="1">
      <c r="A13" s="85"/>
      <c r="B13" s="99"/>
      <c r="C13" s="483" t="s">
        <v>62</v>
      </c>
      <c r="D13" s="483"/>
      <c r="E13" s="483"/>
      <c r="F13" s="483"/>
      <c r="G13" s="148"/>
      <c r="H13" s="118"/>
      <c r="I13" s="119"/>
      <c r="J13" s="465"/>
      <c r="K13" s="466"/>
      <c r="L13" s="384"/>
      <c r="M13" s="385"/>
      <c r="N13" s="99"/>
      <c r="O13" s="99"/>
      <c r="P13" s="99"/>
      <c r="Q13" s="99"/>
      <c r="R13" s="99"/>
      <c r="S13" s="99"/>
      <c r="T13" s="99"/>
      <c r="U13" s="99"/>
      <c r="V13" s="99"/>
      <c r="W13" s="99"/>
      <c r="X13" s="99"/>
      <c r="Y13" s="20"/>
      <c r="Z13" s="453"/>
      <c r="AA13" s="454"/>
      <c r="AB13" s="288"/>
      <c r="AC13" s="289"/>
      <c r="AD13" s="127"/>
      <c r="AE13" s="128"/>
      <c r="AF13" s="129"/>
      <c r="AG13" s="371"/>
      <c r="AH13" s="292"/>
      <c r="AI13" s="293"/>
      <c r="AJ13" s="147"/>
      <c r="AK13" s="341"/>
      <c r="AL13" s="320"/>
      <c r="AM13" s="321"/>
      <c r="AN13" s="122"/>
      <c r="AO13" s="123"/>
      <c r="AP13" s="123"/>
      <c r="AQ13" s="123"/>
      <c r="AR13" s="85"/>
      <c r="AS13" s="85"/>
      <c r="AT13" s="85"/>
      <c r="AU13" s="85"/>
      <c r="AV13" s="85"/>
      <c r="AW13" s="85"/>
      <c r="AX13" s="85"/>
      <c r="AY13" s="85"/>
      <c r="AZ13" s="85"/>
      <c r="BA13" s="85"/>
    </row>
    <row r="14" spans="1:53" ht="18.75" customHeight="1" thickTop="1" thickBot="1">
      <c r="A14" s="149"/>
      <c r="B14" s="150"/>
      <c r="C14" s="151" t="s">
        <v>60</v>
      </c>
      <c r="D14" s="476" t="s">
        <v>59</v>
      </c>
      <c r="E14" s="476"/>
      <c r="F14" s="151" t="s">
        <v>61</v>
      </c>
      <c r="G14" s="152"/>
      <c r="H14" s="118"/>
      <c r="I14" s="119"/>
      <c r="J14" s="449" t="s">
        <v>36</v>
      </c>
      <c r="K14" s="450"/>
      <c r="L14" s="153" t="str">
        <f t="array" ref="L14">IF(M14="","","K"&amp; 23+MATCH(M14,IF(L24:L523="LOSS",K24:K523),0))</f>
        <v>K515</v>
      </c>
      <c r="M14" s="154">
        <f t="array" ref="M14">IF(COUNTA($F$6:$F$10)&lt;5, "", MIN(IF(L24:L523 = "LOSS", K24:K523)))</f>
        <v>-248.84854766799268</v>
      </c>
      <c r="N14" s="99"/>
      <c r="O14" s="99"/>
      <c r="P14" s="99"/>
      <c r="Q14" s="99"/>
      <c r="R14" s="99"/>
      <c r="S14" s="99"/>
      <c r="T14" s="99"/>
      <c r="U14" s="99"/>
      <c r="V14" s="99"/>
      <c r="W14" s="99"/>
      <c r="X14" s="99"/>
      <c r="Y14" s="20"/>
      <c r="Z14" s="314" t="s">
        <v>47</v>
      </c>
      <c r="AA14" s="315"/>
      <c r="AB14" s="155" t="str">
        <f t="array" ref="AB14">IF(AC14="","","K"&amp; 23+MATCH(AC14,IF(L24:L523="WIN",K24:K523),0))</f>
        <v>K514</v>
      </c>
      <c r="AC14" s="156">
        <f t="array" ref="AC14">IF(COUNTA($F$6:$F$10)&lt;5, "", MAX(IF(L24:L523 = "WIN", K24:K523)))</f>
        <v>295.07732925058423</v>
      </c>
      <c r="AD14" s="127"/>
      <c r="AE14" s="128"/>
      <c r="AF14" s="129"/>
      <c r="AG14" s="157" t="s">
        <v>36</v>
      </c>
      <c r="AH14" s="158" t="str">
        <f t="array" ref="AH14">IF(AI14="","","K"&amp; 23+MATCH(AI14,IF(L24:L123="LOSS",K24:K123),0))</f>
        <v>K120</v>
      </c>
      <c r="AI14" s="159">
        <f t="array" ref="AI14">IF(COUNTA($F$6:$F$10)&lt;5, "", MIN(IF(L24:L123 = "LOSS", K24:K123)))</f>
        <v>-136.33492385720655</v>
      </c>
      <c r="AJ14" s="147"/>
      <c r="AK14" s="160" t="s">
        <v>47</v>
      </c>
      <c r="AL14" s="161" t="str">
        <f t="array" ref="AL14">IF(AM14="","","K"&amp; 23+MATCH(AM14,IF(L24:L123="WIN",K24:K123),0))</f>
        <v>K119</v>
      </c>
      <c r="AM14" s="162">
        <f t="array" ref="AM14">IF(COUNTA($F$6:$F$10)&lt;5, "", MAX(IF(L24:L123 = "WIN", K24:K123)))</f>
        <v>161.66196504807098</v>
      </c>
      <c r="AN14" s="122"/>
      <c r="AO14" s="123"/>
      <c r="AP14" s="123"/>
      <c r="AQ14" s="123"/>
      <c r="AR14" s="85"/>
      <c r="AS14" s="85"/>
      <c r="AT14" s="85"/>
      <c r="AU14" s="85"/>
      <c r="AV14" s="85"/>
      <c r="AW14" s="85"/>
      <c r="AX14" s="85"/>
      <c r="AY14" s="85"/>
      <c r="AZ14" s="85"/>
      <c r="BA14" s="85"/>
    </row>
    <row r="15" spans="1:53" ht="18.75" customHeight="1" thickTop="1" thickBot="1">
      <c r="A15" s="85"/>
      <c r="B15" s="163"/>
      <c r="C15" s="63"/>
      <c r="D15" s="477" t="str">
        <f>IF(COUNTA($C$15,$F$8)=2,LN(C15)/-LN(D16),"")</f>
        <v/>
      </c>
      <c r="E15" s="478"/>
      <c r="F15" s="65" t="str">
        <f>IF(COUNTA($C$15,$F$8)=2,LN(C15)/-LN(F16),"")</f>
        <v/>
      </c>
      <c r="G15" s="164"/>
      <c r="H15" s="118"/>
      <c r="I15" s="119"/>
      <c r="J15" s="447" t="s">
        <v>35</v>
      </c>
      <c r="K15" s="448"/>
      <c r="L15" s="445">
        <f>IF(COUNTA($F$6:$F$10)=5,MIN($F$24:$F$523),"")</f>
        <v>9856.3816270876287</v>
      </c>
      <c r="M15" s="446"/>
      <c r="N15" s="99"/>
      <c r="O15" s="99"/>
      <c r="P15" s="99"/>
      <c r="Q15" s="99"/>
      <c r="R15" s="99"/>
      <c r="S15" s="99"/>
      <c r="T15" s="99"/>
      <c r="U15" s="99"/>
      <c r="V15" s="99"/>
      <c r="W15" s="99"/>
      <c r="X15" s="99"/>
      <c r="Y15" s="20"/>
      <c r="Z15" s="451" t="s">
        <v>48</v>
      </c>
      <c r="AA15" s="452"/>
      <c r="AB15" s="380">
        <f>IF(COUNTA($F$6:$F$10)=5,MAX($F$24:$F$523),"")</f>
        <v>24884.854766799268</v>
      </c>
      <c r="AC15" s="381"/>
      <c r="AD15" s="127"/>
      <c r="AE15" s="128"/>
      <c r="AF15" s="129"/>
      <c r="AG15" s="165" t="s">
        <v>35</v>
      </c>
      <c r="AH15" s="366">
        <f>IF(COUNTA($F$6:$F$10)=5,MIN($F$24:$F$123),"")</f>
        <v>9856.3816270876287</v>
      </c>
      <c r="AI15" s="367"/>
      <c r="AJ15" s="147"/>
      <c r="AK15" s="166" t="s">
        <v>48</v>
      </c>
      <c r="AL15" s="332">
        <f>IF(COUNTA($F$6:$F$10)=5,MAX($F$24:$F$123),"")</f>
        <v>13633.492385720654</v>
      </c>
      <c r="AM15" s="333"/>
      <c r="AN15" s="122"/>
      <c r="AO15" s="123"/>
      <c r="AP15" s="123"/>
      <c r="AQ15" s="123"/>
      <c r="AR15" s="85"/>
      <c r="AS15" s="85"/>
      <c r="AT15" s="85"/>
      <c r="AU15" s="85"/>
      <c r="AV15" s="85"/>
      <c r="AW15" s="85"/>
      <c r="AX15" s="85"/>
      <c r="AY15" s="85"/>
      <c r="AZ15" s="85"/>
      <c r="BA15" s="85"/>
    </row>
    <row r="16" spans="1:53" ht="6" customHeight="1" thickTop="1" thickBot="1">
      <c r="A16" s="85"/>
      <c r="B16" s="163"/>
      <c r="C16" s="167"/>
      <c r="D16" s="479">
        <f>(100-F8)/100</f>
        <v>0.45</v>
      </c>
      <c r="E16" s="479"/>
      <c r="F16" s="481">
        <f>1-D16</f>
        <v>0.55000000000000004</v>
      </c>
      <c r="G16" s="164"/>
      <c r="H16" s="118"/>
      <c r="I16" s="119"/>
      <c r="J16" s="99"/>
      <c r="K16" s="99"/>
      <c r="L16" s="99"/>
      <c r="M16" s="99"/>
      <c r="N16" s="99"/>
      <c r="O16" s="99"/>
      <c r="P16" s="99"/>
      <c r="Q16" s="99"/>
      <c r="R16" s="99"/>
      <c r="S16" s="99"/>
      <c r="T16" s="99"/>
      <c r="U16" s="99"/>
      <c r="V16" s="99"/>
      <c r="W16" s="99"/>
      <c r="X16" s="99"/>
      <c r="Y16" s="20"/>
      <c r="Z16" s="99"/>
      <c r="AA16" s="99"/>
      <c r="AB16" s="99"/>
      <c r="AC16" s="99"/>
      <c r="AD16" s="127"/>
      <c r="AE16" s="128"/>
      <c r="AF16" s="168"/>
      <c r="AG16" s="169"/>
      <c r="AH16" s="169"/>
      <c r="AI16" s="169"/>
      <c r="AJ16" s="169"/>
      <c r="AK16" s="169"/>
      <c r="AL16" s="169"/>
      <c r="AM16" s="169"/>
      <c r="AN16" s="170"/>
      <c r="AO16" s="123"/>
      <c r="AP16" s="123"/>
      <c r="AQ16" s="123"/>
      <c r="AR16" s="85"/>
      <c r="AS16" s="85"/>
      <c r="AT16" s="85"/>
      <c r="AU16" s="85"/>
      <c r="AV16" s="85"/>
      <c r="AW16" s="85"/>
      <c r="AX16" s="85"/>
      <c r="AY16" s="85"/>
      <c r="AZ16" s="85"/>
      <c r="BA16" s="85"/>
    </row>
    <row r="17" spans="1:53" ht="6" customHeight="1" thickTop="1" thickBot="1">
      <c r="A17" s="85"/>
      <c r="B17" s="163"/>
      <c r="C17" s="29"/>
      <c r="D17" s="480"/>
      <c r="E17" s="480"/>
      <c r="F17" s="482"/>
      <c r="G17" s="164"/>
      <c r="H17" s="118"/>
      <c r="I17" s="171"/>
      <c r="J17" s="172"/>
      <c r="K17" s="172"/>
      <c r="L17" s="172"/>
      <c r="M17" s="172"/>
      <c r="N17" s="172"/>
      <c r="O17" s="172"/>
      <c r="P17" s="172"/>
      <c r="Q17" s="172"/>
      <c r="R17" s="172"/>
      <c r="S17" s="172"/>
      <c r="T17" s="172"/>
      <c r="U17" s="172"/>
      <c r="V17" s="172"/>
      <c r="W17" s="172"/>
      <c r="X17" s="172"/>
      <c r="Y17" s="30"/>
      <c r="Z17" s="172"/>
      <c r="AA17" s="172"/>
      <c r="AB17" s="172"/>
      <c r="AC17" s="172"/>
      <c r="AD17" s="173"/>
      <c r="AE17" s="128"/>
      <c r="AF17" s="129"/>
      <c r="AG17" s="123"/>
      <c r="AH17" s="123"/>
      <c r="AI17" s="123"/>
      <c r="AJ17" s="123"/>
      <c r="AK17" s="123"/>
      <c r="AL17" s="123"/>
      <c r="AM17" s="123"/>
      <c r="AN17" s="174"/>
      <c r="AO17" s="123"/>
      <c r="AP17" s="123"/>
      <c r="AQ17" s="123"/>
      <c r="AR17" s="85"/>
      <c r="AS17" s="85"/>
      <c r="AT17" s="85"/>
      <c r="AU17" s="85"/>
      <c r="AV17" s="85"/>
      <c r="AW17" s="85"/>
      <c r="AX17" s="85"/>
      <c r="AY17" s="85"/>
      <c r="AZ17" s="85"/>
      <c r="BA17" s="85"/>
    </row>
    <row r="18" spans="1:53" ht="18.75" customHeight="1" thickTop="1" thickBot="1">
      <c r="A18" s="85"/>
      <c r="B18" s="163"/>
      <c r="C18" s="68">
        <v>100</v>
      </c>
      <c r="D18" s="477">
        <f>IF(COUNTBLANK($F$6:$F$10),"",LN(C18)/-LN(D16))</f>
        <v>5.7672207892310094</v>
      </c>
      <c r="E18" s="478"/>
      <c r="F18" s="65">
        <f>IF(COUNTBLANK($F$6:$F$10),"",LN(C18)/-LN(F16))</f>
        <v>7.7030531401828721</v>
      </c>
      <c r="G18" s="164"/>
      <c r="H18" s="118"/>
      <c r="I18" s="119"/>
      <c r="J18" s="398" t="s">
        <v>54</v>
      </c>
      <c r="K18" s="399"/>
      <c r="L18" s="348">
        <f>IF(COUNTBLANK($F$6:$F$10),"",(F523+K523))</f>
        <v>24821.792082001903</v>
      </c>
      <c r="M18" s="349"/>
      <c r="N18" s="99"/>
      <c r="O18" s="99"/>
      <c r="P18" s="99"/>
      <c r="Q18" s="99"/>
      <c r="R18" s="99"/>
      <c r="S18" s="99"/>
      <c r="T18" s="99"/>
      <c r="U18" s="99"/>
      <c r="V18" s="99"/>
      <c r="W18" s="99"/>
      <c r="X18" s="99"/>
      <c r="Y18" s="20"/>
      <c r="Z18" s="398" t="s">
        <v>56</v>
      </c>
      <c r="AA18" s="399"/>
      <c r="AB18" s="336">
        <f>IF(COUNTBLANK($F$6:$F$10),"",(L18-F6)/F6)</f>
        <v>1.4821792082001903</v>
      </c>
      <c r="AC18" s="337"/>
      <c r="AD18" s="127"/>
      <c r="AE18" s="128"/>
      <c r="AF18" s="129"/>
      <c r="AG18" s="175" t="s">
        <v>54</v>
      </c>
      <c r="AH18" s="368">
        <f>IF(COUNTBLANK($F$6:$F$10),"",(F124))</f>
        <v>13387.306796712835</v>
      </c>
      <c r="AI18" s="369"/>
      <c r="AJ18" s="123"/>
      <c r="AK18" s="176" t="s">
        <v>56</v>
      </c>
      <c r="AL18" s="336">
        <f>IF(COUNTBLANK($F$6:$F$10),"",(AH18-F6)/F6)</f>
        <v>0.33873067967128356</v>
      </c>
      <c r="AM18" s="337"/>
      <c r="AN18" s="177"/>
      <c r="AO18" s="123"/>
      <c r="AP18" s="123"/>
      <c r="AQ18" s="123"/>
      <c r="AR18" s="85"/>
      <c r="AS18" s="85"/>
      <c r="AT18" s="85"/>
      <c r="AU18" s="85"/>
      <c r="AV18" s="85"/>
      <c r="AW18" s="85"/>
      <c r="AX18" s="85"/>
      <c r="AY18" s="85"/>
      <c r="AZ18" s="85"/>
      <c r="BA18" s="85"/>
    </row>
    <row r="19" spans="1:53" ht="6" customHeight="1" thickTop="1" thickBot="1">
      <c r="A19" s="85"/>
      <c r="B19" s="163"/>
      <c r="C19" s="62"/>
      <c r="D19" s="64"/>
      <c r="E19" s="64"/>
      <c r="F19" s="178"/>
      <c r="G19" s="164"/>
      <c r="H19" s="118"/>
      <c r="I19" s="119"/>
      <c r="J19" s="99"/>
      <c r="K19" s="99"/>
      <c r="L19" s="99"/>
      <c r="M19" s="99"/>
      <c r="N19" s="99"/>
      <c r="O19" s="99"/>
      <c r="P19" s="99"/>
      <c r="Q19" s="99"/>
      <c r="R19" s="99"/>
      <c r="S19" s="99"/>
      <c r="T19" s="99"/>
      <c r="U19" s="99"/>
      <c r="V19" s="99"/>
      <c r="W19" s="99"/>
      <c r="X19" s="99"/>
      <c r="Y19" s="20"/>
      <c r="Z19" s="99"/>
      <c r="AA19" s="99"/>
      <c r="AB19" s="99"/>
      <c r="AC19" s="99"/>
      <c r="AD19" s="127"/>
      <c r="AE19" s="128"/>
      <c r="AF19" s="129"/>
      <c r="AG19" s="179"/>
      <c r="AH19" s="123"/>
      <c r="AI19" s="123"/>
      <c r="AJ19" s="123"/>
      <c r="AK19" s="123"/>
      <c r="AL19" s="123"/>
      <c r="AM19" s="123"/>
      <c r="AN19" s="122"/>
      <c r="AO19" s="123"/>
      <c r="AP19" s="123"/>
      <c r="AQ19" s="123"/>
      <c r="AR19" s="85"/>
      <c r="AS19" s="85"/>
      <c r="AT19" s="85"/>
      <c r="AU19" s="85"/>
      <c r="AV19" s="85"/>
      <c r="AW19" s="85"/>
      <c r="AX19" s="85"/>
      <c r="AY19" s="85"/>
      <c r="AZ19" s="85"/>
      <c r="BA19" s="85"/>
    </row>
    <row r="20" spans="1:53" ht="18.75" customHeight="1" thickTop="1" thickBot="1">
      <c r="A20" s="85"/>
      <c r="B20" s="163"/>
      <c r="C20" s="68">
        <v>500</v>
      </c>
      <c r="D20" s="477">
        <f>IF(COUNTBLANK($F$6:$F$10),"",LN(C20)/-LN(D16))</f>
        <v>7.7827779592587962</v>
      </c>
      <c r="E20" s="478"/>
      <c r="F20" s="65">
        <f>IF(COUNTBLANK($F$6:$F$10),"",LN(C20)/-LN(F16))</f>
        <v>10.395154683579973</v>
      </c>
      <c r="G20" s="164"/>
      <c r="H20" s="118"/>
      <c r="I20" s="119"/>
      <c r="J20" s="398" t="s">
        <v>55</v>
      </c>
      <c r="K20" s="399"/>
      <c r="L20" s="348">
        <f>IF(COUNTBLANK($F$6:$F$10),"",(L18-F6))</f>
        <v>14821.792082001903</v>
      </c>
      <c r="M20" s="349"/>
      <c r="N20" s="99"/>
      <c r="O20" s="99"/>
      <c r="P20" s="99"/>
      <c r="Q20" s="99"/>
      <c r="R20" s="99"/>
      <c r="S20" s="99"/>
      <c r="T20" s="99"/>
      <c r="U20" s="99"/>
      <c r="V20" s="99"/>
      <c r="W20" s="99"/>
      <c r="X20" s="99"/>
      <c r="Y20" s="20"/>
      <c r="Z20" s="398" t="s">
        <v>57</v>
      </c>
      <c r="AA20" s="399"/>
      <c r="AB20" s="350" t="str">
        <f>IF(AND(COUNTBLANK($F$6:$F$10)&gt;0,L18=""),"",IF(OR(L18&lt;0,L18&gt;=F6),"NO % DATA IS REQUIRED",IF(AND(L18&gt;0,L18&lt;F6),(1/(L18/F6)-1),)))</f>
        <v>NO % DATA IS REQUIRED</v>
      </c>
      <c r="AC20" s="351"/>
      <c r="AD20" s="127"/>
      <c r="AE20" s="128"/>
      <c r="AF20" s="129"/>
      <c r="AG20" s="180" t="s">
        <v>55</v>
      </c>
      <c r="AH20" s="348">
        <f>IF(COUNTBLANK($F$6:$F$10),"",(AH18-F6))</f>
        <v>3387.3067967128354</v>
      </c>
      <c r="AI20" s="349"/>
      <c r="AJ20" s="181"/>
      <c r="AK20" s="175" t="s">
        <v>57</v>
      </c>
      <c r="AL20" s="334" t="str">
        <f>IF(AND(COUNTBLANK($F$6:$F$10)&gt;0,AH18=""),"",IF(OR(AH18&lt;0,AH18&gt;=F6),"NO % DATA IS REQUIRED",IF(AND(AH18&gt;0,AH18&lt;F6),(1/(AH18/F6)-1),)))</f>
        <v>NO % DATA IS REQUIRED</v>
      </c>
      <c r="AM20" s="335"/>
      <c r="AN20" s="122"/>
      <c r="AO20" s="123"/>
      <c r="AP20" s="123"/>
      <c r="AQ20" s="123"/>
      <c r="AR20" s="85"/>
      <c r="AS20" s="85"/>
      <c r="AT20" s="85"/>
      <c r="AU20" s="85"/>
      <c r="AV20" s="85"/>
      <c r="AW20" s="85"/>
      <c r="AX20" s="85"/>
      <c r="AY20" s="85"/>
      <c r="AZ20" s="85"/>
      <c r="BA20" s="85"/>
    </row>
    <row r="21" spans="1:53" ht="6" customHeight="1" thickTop="1" thickBot="1">
      <c r="A21" s="85"/>
      <c r="B21" s="182"/>
      <c r="C21" s="21"/>
      <c r="D21" s="21"/>
      <c r="E21" s="21"/>
      <c r="F21" s="183"/>
      <c r="G21" s="184"/>
      <c r="H21" s="118"/>
      <c r="I21" s="185"/>
      <c r="J21" s="186"/>
      <c r="K21" s="186"/>
      <c r="L21" s="186"/>
      <c r="M21" s="186"/>
      <c r="N21" s="186"/>
      <c r="O21" s="186"/>
      <c r="P21" s="186"/>
      <c r="Q21" s="186"/>
      <c r="R21" s="186"/>
      <c r="S21" s="186"/>
      <c r="T21" s="186"/>
      <c r="U21" s="186"/>
      <c r="V21" s="186"/>
      <c r="W21" s="186"/>
      <c r="X21" s="186"/>
      <c r="Y21" s="26"/>
      <c r="Z21" s="186"/>
      <c r="AA21" s="186"/>
      <c r="AB21" s="186"/>
      <c r="AC21" s="186"/>
      <c r="AD21" s="187"/>
      <c r="AE21" s="128"/>
      <c r="AF21" s="168"/>
      <c r="AG21" s="169"/>
      <c r="AH21" s="169"/>
      <c r="AI21" s="169"/>
      <c r="AJ21" s="169"/>
      <c r="AK21" s="169"/>
      <c r="AL21" s="169"/>
      <c r="AM21" s="169"/>
      <c r="AN21" s="170"/>
      <c r="AO21" s="123"/>
      <c r="AP21" s="123"/>
      <c r="AQ21" s="123"/>
      <c r="AR21" s="85"/>
      <c r="AS21" s="85"/>
      <c r="AT21" s="85"/>
      <c r="AU21" s="85"/>
      <c r="AV21" s="85"/>
      <c r="AW21" s="85"/>
      <c r="AX21" s="85"/>
      <c r="AY21" s="85"/>
      <c r="AZ21" s="85"/>
      <c r="BA21" s="85"/>
    </row>
    <row r="22" spans="1:53" ht="6" customHeight="1" thickTop="1" thickBot="1">
      <c r="A22" s="85"/>
      <c r="B22" s="85"/>
      <c r="C22" s="1"/>
      <c r="D22" s="1"/>
      <c r="E22" s="1"/>
      <c r="F22" s="1"/>
      <c r="G22" s="6"/>
      <c r="H22" s="1"/>
      <c r="I22" s="1"/>
      <c r="J22" s="1"/>
      <c r="K22" s="1"/>
      <c r="L22" s="9"/>
      <c r="M22" s="6"/>
      <c r="N22" s="6"/>
      <c r="O22" s="6"/>
      <c r="P22" s="6"/>
      <c r="Q22" s="6"/>
      <c r="R22" s="6"/>
      <c r="S22" s="6"/>
      <c r="T22" s="6"/>
      <c r="U22" s="6"/>
      <c r="V22" s="6"/>
      <c r="W22" s="6"/>
      <c r="X22" s="6"/>
      <c r="Y22" s="6"/>
      <c r="Z22" s="6"/>
      <c r="AA22" s="188"/>
      <c r="AB22" s="188"/>
      <c r="AC22" s="188"/>
      <c r="AD22" s="188"/>
      <c r="AE22" s="188"/>
      <c r="AF22" s="188"/>
      <c r="AG22" s="188"/>
      <c r="AH22" s="188"/>
      <c r="AI22" s="188"/>
      <c r="AJ22" s="189"/>
      <c r="AK22" s="190"/>
      <c r="AL22" s="190"/>
      <c r="AM22" s="190"/>
      <c r="AN22" s="190"/>
      <c r="AO22" s="85"/>
      <c r="AP22" s="85"/>
      <c r="AQ22" s="85"/>
      <c r="AR22" s="85"/>
      <c r="AS22" s="85"/>
      <c r="AT22" s="85"/>
      <c r="AU22" s="85"/>
      <c r="AV22" s="85"/>
      <c r="AW22" s="85"/>
      <c r="AX22" s="85"/>
      <c r="AY22" s="85"/>
      <c r="AZ22" s="85"/>
      <c r="BA22" s="85"/>
    </row>
    <row r="23" spans="1:53" ht="19.5" thickTop="1" thickBot="1">
      <c r="A23" s="87"/>
      <c r="B23" s="412" t="s">
        <v>569</v>
      </c>
      <c r="C23" s="308"/>
      <c r="D23" s="307" t="s">
        <v>612</v>
      </c>
      <c r="E23" s="308"/>
      <c r="F23" s="307" t="s">
        <v>19</v>
      </c>
      <c r="G23" s="308"/>
      <c r="H23" s="294" t="str">
        <f>IF(COUNTA($F$6:$F$10)=5, CONCATENATE("Risk ", F7*100,"%"),"Risk %")</f>
        <v>Risk 1%</v>
      </c>
      <c r="I23" s="295"/>
      <c r="J23" s="296"/>
      <c r="K23" s="249" t="s">
        <v>32</v>
      </c>
      <c r="L23" s="249" t="s">
        <v>568</v>
      </c>
      <c r="M23" s="250" t="s">
        <v>66</v>
      </c>
      <c r="N23" s="236" t="s">
        <v>20</v>
      </c>
      <c r="O23" s="46" t="s">
        <v>11</v>
      </c>
      <c r="P23" s="46" t="s">
        <v>18</v>
      </c>
      <c r="Q23" s="46" t="s">
        <v>14</v>
      </c>
      <c r="R23" s="46" t="s">
        <v>13</v>
      </c>
      <c r="S23" s="46" t="s">
        <v>12</v>
      </c>
      <c r="T23" s="46" t="s">
        <v>15</v>
      </c>
      <c r="U23" s="46" t="s">
        <v>16</v>
      </c>
      <c r="V23" s="46" t="s">
        <v>17</v>
      </c>
      <c r="W23" s="46" t="s">
        <v>33</v>
      </c>
      <c r="X23" s="47" t="s">
        <v>34</v>
      </c>
      <c r="Y23" s="7"/>
      <c r="Z23" s="85"/>
      <c r="AA23" s="189"/>
      <c r="AB23" s="189"/>
      <c r="AC23" s="189"/>
      <c r="AD23" s="189"/>
      <c r="AE23" s="189"/>
      <c r="AF23" s="189"/>
      <c r="AG23" s="189"/>
      <c r="AH23" s="189"/>
      <c r="AI23" s="189"/>
      <c r="AJ23" s="189"/>
      <c r="AK23" s="191"/>
      <c r="AL23" s="85"/>
      <c r="AM23" s="85"/>
      <c r="AN23" s="85"/>
      <c r="AO23" s="85"/>
      <c r="AP23" s="85"/>
      <c r="AQ23" s="85"/>
      <c r="AR23" s="85"/>
      <c r="AS23" s="85"/>
      <c r="AT23" s="85"/>
      <c r="AU23" s="85"/>
      <c r="AV23" s="85"/>
      <c r="AW23" s="85"/>
      <c r="AX23" s="85"/>
      <c r="AY23" s="85"/>
      <c r="AZ23" s="85"/>
      <c r="BA23" s="85"/>
    </row>
    <row r="24" spans="1:53" ht="18.75">
      <c r="A24" s="149"/>
      <c r="B24" s="410" t="s">
        <v>68</v>
      </c>
      <c r="C24" s="411"/>
      <c r="D24" s="413">
        <v>32</v>
      </c>
      <c r="E24" s="414"/>
      <c r="F24" s="467">
        <f>IF(COUNTBLANK($F$6:$F$10),"",$F$6)</f>
        <v>10000</v>
      </c>
      <c r="G24" s="468"/>
      <c r="H24" s="423">
        <f>IF(COUNTBLANK($F$6:$F$10),"",F24*$F$7)</f>
        <v>100</v>
      </c>
      <c r="I24" s="424"/>
      <c r="J24" s="425"/>
      <c r="K24" s="248">
        <f>IF(COUNTBLANK($F$6:$F$10),"", IF(L24="win", H24*$F$9-$F$10, IF(L24="loss", -H24-$F$10)))</f>
        <v>120</v>
      </c>
      <c r="L24" s="81" t="str">
        <f>IF(D24="","",IF(D24&lt;$F$8,"WIN","LOSS"))</f>
        <v>WIN</v>
      </c>
      <c r="M24" s="242">
        <f>IF(COUNTA($F$6:$F$10)=5,(F25-F24)/F24,"")</f>
        <v>1.2E-2</v>
      </c>
      <c r="N24" s="237">
        <v>1</v>
      </c>
      <c r="O24" s="42" t="str">
        <f>IF(N24=1,IF(N25=1,"last","new"),IF(N25=1,"last","middle"))</f>
        <v>last</v>
      </c>
      <c r="P24" s="42">
        <v>25</v>
      </c>
      <c r="Q24" s="42">
        <f t="array" ref="Q24">COUNTIFS(Outcome,$Q$23,position,"last",count,P24)</f>
        <v>0</v>
      </c>
      <c r="R24" s="42">
        <f t="shared" ref="R24:R48" si="0">SUMPRODUCT((Outcome=$R$23)*(position="last")*(count=P24))</f>
        <v>0</v>
      </c>
      <c r="S24" s="42">
        <v>0.5</v>
      </c>
      <c r="T24" s="43" t="str">
        <f t="shared" ref="T24:T47" si="1">IF(Q24=0,"",Q24*$P24/500)</f>
        <v/>
      </c>
      <c r="U24" s="42">
        <f t="shared" ref="U24:U30" si="2">S24+1</f>
        <v>1.5</v>
      </c>
      <c r="V24" s="43" t="str">
        <f t="shared" ref="V24:V47" si="3">IF(R24=0,"",R24*$P24/500)</f>
        <v/>
      </c>
      <c r="W24" s="44">
        <f>IF(AND(L24="WIN",L25&lt;&gt;"WIN"),SUMIF(L24:L$24,"WIN",K24:K$24)-SUM(W$23:W23),"")</f>
        <v>120</v>
      </c>
      <c r="X24" s="45" t="str">
        <f>IF(AND(L24="LOSS",L25&lt;&gt;"LOSS"),SUMIF(L$24:L24,"LOSS",K$24:K24)-SUM(X$23:X23),"")</f>
        <v/>
      </c>
      <c r="Y24" s="8"/>
      <c r="Z24" s="85"/>
      <c r="AA24" s="192"/>
      <c r="AB24" s="192"/>
      <c r="AC24" s="192"/>
      <c r="AD24" s="192"/>
      <c r="AE24" s="192"/>
      <c r="AF24" s="192"/>
      <c r="AG24" s="192"/>
      <c r="AH24" s="192"/>
      <c r="AI24" s="192"/>
      <c r="AJ24" s="192"/>
      <c r="AK24" s="192"/>
      <c r="AL24" s="85"/>
      <c r="AM24" s="85"/>
      <c r="AN24" s="85"/>
      <c r="AO24" s="85"/>
      <c r="AP24" s="85"/>
      <c r="AQ24" s="85"/>
      <c r="AR24" s="85"/>
      <c r="AS24" s="85"/>
      <c r="AT24" s="85"/>
      <c r="AU24" s="85"/>
      <c r="AV24" s="85"/>
      <c r="AW24" s="85"/>
      <c r="AX24" s="85"/>
      <c r="AY24" s="85"/>
      <c r="AZ24" s="85"/>
      <c r="BA24" s="85"/>
    </row>
    <row r="25" spans="1:53" ht="15.75">
      <c r="A25" s="149"/>
      <c r="B25" s="305" t="s">
        <v>69</v>
      </c>
      <c r="C25" s="306"/>
      <c r="D25" s="271">
        <v>96</v>
      </c>
      <c r="E25" s="272"/>
      <c r="F25" s="278">
        <f>IF(COUNTBLANK($F$6:$F$10),"",IF(D24&lt;$F$8,(1+$F$7*$F$9)*F24-$F$10,(1-$F$7)*F24-$F$10))</f>
        <v>10120</v>
      </c>
      <c r="G25" s="279"/>
      <c r="H25" s="275">
        <f t="shared" ref="H25:H88" si="4">IF(COUNTBLANK($F$6:$F$10),"",F25*$F$7)</f>
        <v>101.2</v>
      </c>
      <c r="I25" s="276"/>
      <c r="J25" s="277"/>
      <c r="K25" s="75">
        <f>IF(COUNTBLANK($F$6:$F$10),"", IF(L25="win", H25*$F$9-$F$10, IF(L25="loss", -H25-$F$10)))</f>
        <v>-101.2</v>
      </c>
      <c r="L25" s="81" t="str">
        <f t="shared" ref="L25:L88" si="5">IF(D25="","",IF(D25&lt;$F$8,"WIN","LOSS"))</f>
        <v>LOSS</v>
      </c>
      <c r="M25" s="242">
        <f>IF(COUNTA($F$6:$F$10)=5,(F26-F24)/F24,"")</f>
        <v>1.8799999999999273E-3</v>
      </c>
      <c r="N25" s="238">
        <f t="shared" ref="N25:N88" si="6">IF(L25=L24,N24+1,1)</f>
        <v>1</v>
      </c>
      <c r="O25" s="14" t="str">
        <f t="shared" ref="O25:O88" si="7">IF(N25=1,IF(N26=1,"last","new"),IF(N26=1,"last","middle"))</f>
        <v>new</v>
      </c>
      <c r="P25" s="14">
        <v>24</v>
      </c>
      <c r="Q25" s="14">
        <f t="shared" ref="Q25:Q48" si="8">COUNTIFS(Outcome,$Q$23,position,"last",count,P25)</f>
        <v>0</v>
      </c>
      <c r="R25" s="14">
        <f t="shared" si="0"/>
        <v>0</v>
      </c>
      <c r="S25" s="14">
        <v>2.5</v>
      </c>
      <c r="T25" s="18" t="str">
        <f t="shared" si="1"/>
        <v/>
      </c>
      <c r="U25" s="14">
        <f t="shared" si="2"/>
        <v>3.5</v>
      </c>
      <c r="V25" s="18" t="str">
        <f t="shared" si="3"/>
        <v/>
      </c>
      <c r="W25" s="39" t="str">
        <f>IF(AND(L25="WIN",L26&lt;&gt;"WIN"),SUMIF(L$24:L25,"WIN",K$24:K25)-SUM(W$23:W24),"")</f>
        <v/>
      </c>
      <c r="X25" s="41" t="str">
        <f>IF(AND(L25="LOSS",L26&lt;&gt;"LOSS"),SUMIF(L$24:L25,"LOSS",K$24:K25)-SUM(X$23:X24),"")</f>
        <v/>
      </c>
      <c r="Y25" s="8"/>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row>
    <row r="26" spans="1:53" ht="15.75">
      <c r="A26" s="149"/>
      <c r="B26" s="305" t="s">
        <v>70</v>
      </c>
      <c r="C26" s="306"/>
      <c r="D26" s="271">
        <v>81</v>
      </c>
      <c r="E26" s="272"/>
      <c r="F26" s="278">
        <f t="shared" ref="F26:F89" si="9">IF(COUNTBLANK($F$6:$F$10),"",IF(D25&lt;$F$8,(1+$F$7*$F$9)*F25-$F$10,(1-$F$7)*F25-$F$10))</f>
        <v>10018.799999999999</v>
      </c>
      <c r="G26" s="279"/>
      <c r="H26" s="275">
        <f t="shared" si="4"/>
        <v>100.18799999999999</v>
      </c>
      <c r="I26" s="276"/>
      <c r="J26" s="277"/>
      <c r="K26" s="75">
        <f t="shared" ref="K26:K89" si="10">IF(COUNTBLANK($F$6:$F$10),"", IF(L26="win", H26*$F$9-$F$10, IF(L26="loss", -H26-$F$10)))</f>
        <v>-100.18799999999999</v>
      </c>
      <c r="L26" s="81" t="str">
        <f t="shared" si="5"/>
        <v>LOSS</v>
      </c>
      <c r="M26" s="242">
        <f>IF(COUNTA($F$6:$F$10)=5,(F27-F24)/F24,"")</f>
        <v>-8.1388000000000831E-3</v>
      </c>
      <c r="N26" s="238">
        <f t="shared" si="6"/>
        <v>2</v>
      </c>
      <c r="O26" s="14" t="str">
        <f t="shared" si="7"/>
        <v>last</v>
      </c>
      <c r="P26" s="14">
        <v>23</v>
      </c>
      <c r="Q26" s="14">
        <f t="shared" si="8"/>
        <v>0</v>
      </c>
      <c r="R26" s="14">
        <f t="shared" si="0"/>
        <v>0</v>
      </c>
      <c r="S26" s="14">
        <v>4.5</v>
      </c>
      <c r="T26" s="18" t="str">
        <f t="shared" si="1"/>
        <v/>
      </c>
      <c r="U26" s="14">
        <f t="shared" si="2"/>
        <v>5.5</v>
      </c>
      <c r="V26" s="18" t="str">
        <f t="shared" si="3"/>
        <v/>
      </c>
      <c r="W26" s="39" t="str">
        <f>IF(AND(L26="WIN",L27&lt;&gt;"WIN"),SUMIF(L$24:L26,"WIN",K$24:K26)-SUM(W$23:W25),"")</f>
        <v/>
      </c>
      <c r="X26" s="41">
        <f>IF(AND(L26="LOSS",L27&lt;&gt;"LOSS"),SUMIF(L$24:L26,"LOSS",K$24:K26)-SUM(X$23:X25),"")</f>
        <v>-201.38799999999998</v>
      </c>
      <c r="Y26" s="8"/>
      <c r="Z26" s="85"/>
      <c r="AA26" s="85"/>
      <c r="AB26" s="85"/>
      <c r="AC26" s="85"/>
      <c r="AD26" s="85"/>
      <c r="AE26" s="85"/>
      <c r="AF26" s="85"/>
      <c r="AG26" s="85"/>
      <c r="AH26" s="85"/>
      <c r="AI26" s="85"/>
      <c r="AJ26" s="85"/>
      <c r="AK26" s="85"/>
      <c r="AL26" s="85"/>
      <c r="AM26" s="85"/>
      <c r="AN26" s="85"/>
      <c r="AO26" s="85"/>
      <c r="AP26" s="85"/>
      <c r="AQ26" s="85"/>
      <c r="AR26" s="85"/>
      <c r="AS26" s="85"/>
      <c r="AT26" s="85"/>
      <c r="AU26" s="85"/>
      <c r="AV26" s="85"/>
      <c r="AW26" s="85"/>
      <c r="AX26" s="85"/>
      <c r="AY26" s="85"/>
      <c r="AZ26" s="85"/>
      <c r="BA26" s="85"/>
    </row>
    <row r="27" spans="1:53" ht="15.75">
      <c r="A27" s="149"/>
      <c r="B27" s="305" t="s">
        <v>71</v>
      </c>
      <c r="C27" s="306"/>
      <c r="D27" s="271">
        <v>32</v>
      </c>
      <c r="E27" s="272"/>
      <c r="F27" s="278">
        <f t="shared" si="9"/>
        <v>9918.6119999999992</v>
      </c>
      <c r="G27" s="279"/>
      <c r="H27" s="275">
        <f t="shared" si="4"/>
        <v>99.186119999999988</v>
      </c>
      <c r="I27" s="276"/>
      <c r="J27" s="277"/>
      <c r="K27" s="75">
        <f t="shared" si="10"/>
        <v>119.02334399999998</v>
      </c>
      <c r="L27" s="81" t="str">
        <f t="shared" si="5"/>
        <v>WIN</v>
      </c>
      <c r="M27" s="242">
        <f>IF(COUNTA($F$6:$F$10)=5,(F28-F24)/F24,"")</f>
        <v>3.7635343999998438E-3</v>
      </c>
      <c r="N27" s="238">
        <f t="shared" si="6"/>
        <v>1</v>
      </c>
      <c r="O27" s="14" t="str">
        <f t="shared" si="7"/>
        <v>new</v>
      </c>
      <c r="P27" s="14">
        <v>22</v>
      </c>
      <c r="Q27" s="14">
        <f t="shared" si="8"/>
        <v>0</v>
      </c>
      <c r="R27" s="14">
        <f t="shared" si="0"/>
        <v>0</v>
      </c>
      <c r="S27" s="14">
        <v>6.5</v>
      </c>
      <c r="T27" s="18" t="str">
        <f t="shared" si="1"/>
        <v/>
      </c>
      <c r="U27" s="14">
        <f t="shared" si="2"/>
        <v>7.5</v>
      </c>
      <c r="V27" s="18" t="str">
        <f t="shared" si="3"/>
        <v/>
      </c>
      <c r="W27" s="39" t="str">
        <f>IF(AND(L27="WIN",L28&lt;&gt;"WIN"),SUMIF(L$24:L27,"WIN",K$24:K27)-SUM(W$23:W26),"")</f>
        <v/>
      </c>
      <c r="X27" s="41" t="str">
        <f>IF(AND(L27="LOSS",L28&lt;&gt;"LOSS"),SUMIF(L$24:L27,"LOSS",K$24:K27)-SUM(X$23:X26),"")</f>
        <v/>
      </c>
      <c r="Y27" s="8"/>
      <c r="Z27" s="85"/>
      <c r="AA27" s="85"/>
      <c r="AB27" s="85"/>
      <c r="AC27" s="85"/>
      <c r="AD27" s="85"/>
      <c r="AE27" s="85"/>
      <c r="AF27" s="85"/>
      <c r="AG27" s="85"/>
      <c r="AH27" s="85"/>
      <c r="AI27" s="85"/>
      <c r="AJ27" s="85"/>
      <c r="AK27" s="85"/>
      <c r="AL27" s="85"/>
      <c r="AM27" s="85"/>
      <c r="AN27" s="85"/>
      <c r="AO27" s="85"/>
      <c r="AP27" s="85"/>
      <c r="AQ27" s="85"/>
      <c r="AR27" s="85"/>
      <c r="AS27" s="85"/>
      <c r="AT27" s="85"/>
      <c r="AU27" s="85"/>
      <c r="AV27" s="85"/>
      <c r="AW27" s="85"/>
      <c r="AX27" s="85"/>
      <c r="AY27" s="85"/>
      <c r="AZ27" s="85"/>
      <c r="BA27" s="85"/>
    </row>
    <row r="28" spans="1:53" ht="15.75">
      <c r="A28" s="149"/>
      <c r="B28" s="305" t="s">
        <v>72</v>
      </c>
      <c r="C28" s="306"/>
      <c r="D28" s="271">
        <v>5</v>
      </c>
      <c r="E28" s="272"/>
      <c r="F28" s="278">
        <f t="shared" si="9"/>
        <v>10037.635343999998</v>
      </c>
      <c r="G28" s="279"/>
      <c r="H28" s="275">
        <f t="shared" si="4"/>
        <v>100.37635343999999</v>
      </c>
      <c r="I28" s="276"/>
      <c r="J28" s="277"/>
      <c r="K28" s="75">
        <f t="shared" si="10"/>
        <v>120.45162412799998</v>
      </c>
      <c r="L28" s="81" t="str">
        <f t="shared" si="5"/>
        <v>WIN</v>
      </c>
      <c r="M28" s="242">
        <f>IF(COUNTA($F$6:$F$10)=5,(F29-F24)/F24,"")</f>
        <v>1.5808696812799825E-2</v>
      </c>
      <c r="N28" s="238">
        <f t="shared" si="6"/>
        <v>2</v>
      </c>
      <c r="O28" s="14" t="str">
        <f t="shared" si="7"/>
        <v>last</v>
      </c>
      <c r="P28" s="14">
        <v>21</v>
      </c>
      <c r="Q28" s="14">
        <f t="shared" si="8"/>
        <v>0</v>
      </c>
      <c r="R28" s="14">
        <f t="shared" si="0"/>
        <v>0</v>
      </c>
      <c r="S28" s="14">
        <v>8.5</v>
      </c>
      <c r="T28" s="18" t="str">
        <f t="shared" si="1"/>
        <v/>
      </c>
      <c r="U28" s="14">
        <f t="shared" si="2"/>
        <v>9.5</v>
      </c>
      <c r="V28" s="18" t="str">
        <f t="shared" si="3"/>
        <v/>
      </c>
      <c r="W28" s="39">
        <f>IF(AND(L28="WIN",L29&lt;&gt;"WIN"),SUMIF(L$24:L28,"WIN",K$24:K28)-SUM(W$23:W27),"")</f>
        <v>239.47496812799994</v>
      </c>
      <c r="X28" s="41" t="str">
        <f>IF(AND(L28="LOSS",L29&lt;&gt;"LOSS"),SUMIF(L$24:L28,"LOSS",K$24:K28)-SUM(X$23:X27),"")</f>
        <v/>
      </c>
      <c r="Y28" s="8"/>
      <c r="Z28" s="85"/>
      <c r="AA28" s="85"/>
      <c r="AB28" s="85"/>
      <c r="AC28" s="85"/>
      <c r="AD28" s="85"/>
      <c r="AE28" s="85"/>
      <c r="AF28" s="85"/>
      <c r="AG28" s="85"/>
      <c r="AH28" s="85"/>
      <c r="AI28" s="85"/>
      <c r="AJ28" s="85"/>
      <c r="AK28" s="85"/>
      <c r="AL28" s="85"/>
      <c r="AM28" s="85"/>
      <c r="AN28" s="85"/>
      <c r="AO28" s="85"/>
      <c r="AP28" s="85"/>
      <c r="AQ28" s="85"/>
      <c r="AR28" s="85"/>
      <c r="AS28" s="85"/>
      <c r="AT28" s="85"/>
      <c r="AU28" s="85"/>
      <c r="AV28" s="85"/>
      <c r="AW28" s="85"/>
      <c r="AX28" s="85"/>
      <c r="AY28" s="85"/>
      <c r="AZ28" s="85"/>
      <c r="BA28" s="85"/>
    </row>
    <row r="29" spans="1:53" ht="15.75">
      <c r="A29" s="149"/>
      <c r="B29" s="305" t="s">
        <v>73</v>
      </c>
      <c r="C29" s="306"/>
      <c r="D29" s="271">
        <v>90</v>
      </c>
      <c r="E29" s="272"/>
      <c r="F29" s="278">
        <f t="shared" si="9"/>
        <v>10158.086968127998</v>
      </c>
      <c r="G29" s="279"/>
      <c r="H29" s="275">
        <f t="shared" si="4"/>
        <v>101.58086968127998</v>
      </c>
      <c r="I29" s="276"/>
      <c r="J29" s="277"/>
      <c r="K29" s="75">
        <f t="shared" si="10"/>
        <v>-101.58086968127998</v>
      </c>
      <c r="L29" s="81" t="str">
        <f t="shared" si="5"/>
        <v>LOSS</v>
      </c>
      <c r="M29" s="242">
        <f>IF(COUNTA($F$6:$F$10)=5,(F30-F24)/F24,"")</f>
        <v>5.6506098446718169E-3</v>
      </c>
      <c r="N29" s="238">
        <f t="shared" si="6"/>
        <v>1</v>
      </c>
      <c r="O29" s="14" t="str">
        <f t="shared" si="7"/>
        <v>new</v>
      </c>
      <c r="P29" s="14">
        <v>20</v>
      </c>
      <c r="Q29" s="14">
        <f t="shared" si="8"/>
        <v>0</v>
      </c>
      <c r="R29" s="14">
        <f t="shared" si="0"/>
        <v>0</v>
      </c>
      <c r="S29" s="14">
        <v>10.5</v>
      </c>
      <c r="T29" s="18" t="str">
        <f t="shared" si="1"/>
        <v/>
      </c>
      <c r="U29" s="14">
        <f t="shared" si="2"/>
        <v>11.5</v>
      </c>
      <c r="V29" s="18" t="str">
        <f t="shared" si="3"/>
        <v/>
      </c>
      <c r="W29" s="39" t="str">
        <f>IF(AND(L29="WIN",L30&lt;&gt;"WIN"),SUMIF(L$24:L29,"WIN",K$24:K29)-SUM(W$23:W28),"")</f>
        <v/>
      </c>
      <c r="X29" s="41" t="str">
        <f>IF(AND(L29="LOSS",L30&lt;&gt;"LOSS"),SUMIF(L$24:L29,"LOSS",K$24:K29)-SUM(X$23:X28),"")</f>
        <v/>
      </c>
      <c r="Y29" s="8"/>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row>
    <row r="30" spans="1:53" ht="15.75">
      <c r="A30" s="149"/>
      <c r="B30" s="305" t="s">
        <v>74</v>
      </c>
      <c r="C30" s="306"/>
      <c r="D30" s="271">
        <v>70</v>
      </c>
      <c r="E30" s="272"/>
      <c r="F30" s="278">
        <f t="shared" si="9"/>
        <v>10056.506098446718</v>
      </c>
      <c r="G30" s="279"/>
      <c r="H30" s="275">
        <f t="shared" si="4"/>
        <v>100.56506098446718</v>
      </c>
      <c r="I30" s="276"/>
      <c r="J30" s="277"/>
      <c r="K30" s="75">
        <f t="shared" si="10"/>
        <v>-100.56506098446718</v>
      </c>
      <c r="L30" s="81" t="str">
        <f t="shared" si="5"/>
        <v>LOSS</v>
      </c>
      <c r="M30" s="242">
        <f>IF(COUNTA($F$6:$F$10)=5,(F31-F24)/F24,"")</f>
        <v>-4.4058962537748816E-3</v>
      </c>
      <c r="N30" s="238">
        <f t="shared" si="6"/>
        <v>2</v>
      </c>
      <c r="O30" s="14" t="str">
        <f t="shared" si="7"/>
        <v>middle</v>
      </c>
      <c r="P30" s="14">
        <v>19</v>
      </c>
      <c r="Q30" s="14">
        <f t="shared" si="8"/>
        <v>0</v>
      </c>
      <c r="R30" s="14">
        <f t="shared" si="0"/>
        <v>0</v>
      </c>
      <c r="S30" s="14">
        <v>12.5</v>
      </c>
      <c r="T30" s="18" t="str">
        <f t="shared" si="1"/>
        <v/>
      </c>
      <c r="U30" s="14">
        <f t="shared" si="2"/>
        <v>13.5</v>
      </c>
      <c r="V30" s="18" t="str">
        <f t="shared" si="3"/>
        <v/>
      </c>
      <c r="W30" s="39" t="str">
        <f>IF(AND(L30="WIN",L31&lt;&gt;"WIN"),SUMIF(L$24:L30,"WIN",K$24:K30)-SUM(W$23:W29),"")</f>
        <v/>
      </c>
      <c r="X30" s="41" t="str">
        <f>IF(AND(L30="LOSS",L31&lt;&gt;"LOSS"),SUMIF(L$24:L30,"LOSS",K$24:K30)-SUM(X$23:X29),"")</f>
        <v/>
      </c>
      <c r="Y30" s="8"/>
      <c r="Z30" s="85"/>
      <c r="AA30" s="85"/>
      <c r="AB30" s="85"/>
      <c r="AC30" s="85"/>
      <c r="AD30" s="85"/>
      <c r="AE30" s="85"/>
      <c r="AF30" s="85"/>
      <c r="AG30" s="85"/>
      <c r="AH30" s="85"/>
      <c r="AI30" s="85"/>
      <c r="AJ30" s="85"/>
      <c r="AK30" s="85"/>
      <c r="AL30" s="85"/>
      <c r="AM30" s="85"/>
      <c r="AN30" s="85"/>
      <c r="AO30" s="85"/>
      <c r="AP30" s="85"/>
      <c r="AQ30" s="85"/>
      <c r="AR30" s="85"/>
      <c r="AS30" s="85"/>
      <c r="AT30" s="85"/>
      <c r="AU30" s="85"/>
      <c r="AV30" s="85"/>
      <c r="AW30" s="85"/>
      <c r="AX30" s="85"/>
      <c r="AY30" s="85"/>
      <c r="AZ30" s="85"/>
      <c r="BA30" s="85"/>
    </row>
    <row r="31" spans="1:53" ht="15.75">
      <c r="A31" s="149"/>
      <c r="B31" s="305" t="s">
        <v>75</v>
      </c>
      <c r="C31" s="306"/>
      <c r="D31" s="271">
        <v>100</v>
      </c>
      <c r="E31" s="272"/>
      <c r="F31" s="278">
        <f t="shared" si="9"/>
        <v>9955.9410374622512</v>
      </c>
      <c r="G31" s="279"/>
      <c r="H31" s="275">
        <f t="shared" si="4"/>
        <v>99.559410374622516</v>
      </c>
      <c r="I31" s="276"/>
      <c r="J31" s="277"/>
      <c r="K31" s="75">
        <f t="shared" si="10"/>
        <v>-99.559410374622516</v>
      </c>
      <c r="L31" s="81" t="str">
        <f t="shared" si="5"/>
        <v>LOSS</v>
      </c>
      <c r="M31" s="242">
        <f>IF(COUNTA($F$6:$F$10)=5,(F32-F24)/F24,"")</f>
        <v>-1.4361837291237134E-2</v>
      </c>
      <c r="N31" s="238">
        <f t="shared" si="6"/>
        <v>3</v>
      </c>
      <c r="O31" s="14" t="str">
        <f t="shared" si="7"/>
        <v>last</v>
      </c>
      <c r="P31" s="14">
        <v>18</v>
      </c>
      <c r="Q31" s="14">
        <f t="shared" si="8"/>
        <v>0</v>
      </c>
      <c r="R31" s="14">
        <f t="shared" si="0"/>
        <v>0</v>
      </c>
      <c r="S31" s="14">
        <v>14.5</v>
      </c>
      <c r="T31" s="18" t="str">
        <f>IF(Q31=0,"",Q31*$P31/500)</f>
        <v/>
      </c>
      <c r="U31" s="14">
        <f t="array" ref="U31">S31+1</f>
        <v>15.5</v>
      </c>
      <c r="V31" s="18" t="str">
        <f t="shared" si="3"/>
        <v/>
      </c>
      <c r="W31" s="39" t="str">
        <f>IF(AND(L31="WIN",L32&lt;&gt;"WIN"),SUMIF(L$24:L31,"WIN",K$24:K31)-SUM(W$23:W30),"")</f>
        <v/>
      </c>
      <c r="X31" s="41">
        <f>IF(AND(L31="LOSS",L32&lt;&gt;"LOSS"),SUMIF(L$24:L31,"LOSS",K$24:K31)-SUM(X$23:X30),"")</f>
        <v>-301.70534104036966</v>
      </c>
      <c r="Y31" s="8"/>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row>
    <row r="32" spans="1:53" ht="15.75">
      <c r="A32" s="149"/>
      <c r="B32" s="305" t="s">
        <v>76</v>
      </c>
      <c r="C32" s="306"/>
      <c r="D32" s="271">
        <v>53</v>
      </c>
      <c r="E32" s="272"/>
      <c r="F32" s="278">
        <f t="shared" si="9"/>
        <v>9856.3816270876287</v>
      </c>
      <c r="G32" s="279"/>
      <c r="H32" s="275">
        <f t="shared" si="4"/>
        <v>98.563816270876288</v>
      </c>
      <c r="I32" s="276"/>
      <c r="J32" s="277"/>
      <c r="K32" s="75">
        <f t="shared" si="10"/>
        <v>118.27657952505155</v>
      </c>
      <c r="L32" s="81" t="str">
        <f t="shared" si="5"/>
        <v>WIN</v>
      </c>
      <c r="M32" s="242">
        <f>IF(COUNTA($F$6:$F$10)=5,(F33-F24)/F24,"")</f>
        <v>-2.5341793387318829E-3</v>
      </c>
      <c r="N32" s="238">
        <f t="shared" si="6"/>
        <v>1</v>
      </c>
      <c r="O32" s="14" t="str">
        <f t="shared" si="7"/>
        <v>new</v>
      </c>
      <c r="P32" s="14">
        <v>17</v>
      </c>
      <c r="Q32" s="14">
        <f t="shared" si="8"/>
        <v>0</v>
      </c>
      <c r="R32" s="14">
        <f t="shared" si="0"/>
        <v>0</v>
      </c>
      <c r="S32" s="14">
        <v>16.5</v>
      </c>
      <c r="T32" s="18" t="str">
        <f t="shared" si="1"/>
        <v/>
      </c>
      <c r="U32" s="14">
        <f t="shared" ref="U32:U40" si="11">S32+1</f>
        <v>17.5</v>
      </c>
      <c r="V32" s="18" t="str">
        <f t="shared" si="3"/>
        <v/>
      </c>
      <c r="W32" s="39" t="str">
        <f>IF(AND(L32="WIN",L33&lt;&gt;"WIN"),SUMIF(L$24:L32,"WIN",K$24:K32)-SUM(W$23:W31),"")</f>
        <v/>
      </c>
      <c r="X32" s="41" t="str">
        <f>IF(AND(L32="LOSS",L33&lt;&gt;"LOSS"),SUMIF(L$24:L32,"LOSS",K$24:K32)-SUM(X$23:X31),"")</f>
        <v/>
      </c>
      <c r="Y32" s="8"/>
      <c r="Z32" s="85"/>
      <c r="AA32" s="85"/>
      <c r="AB32" s="85"/>
      <c r="AC32" s="85"/>
      <c r="AD32" s="85"/>
      <c r="AE32" s="85"/>
      <c r="AF32" s="85"/>
      <c r="AG32" s="85"/>
      <c r="AH32" s="85"/>
      <c r="AI32" s="85"/>
      <c r="AJ32" s="85"/>
      <c r="AK32" s="85"/>
      <c r="AL32" s="85"/>
      <c r="AM32" s="85"/>
      <c r="AN32" s="85"/>
      <c r="AO32" s="85"/>
      <c r="AP32" s="85"/>
      <c r="AQ32" s="85"/>
      <c r="AR32" s="85"/>
      <c r="AS32" s="85"/>
      <c r="AT32" s="85"/>
      <c r="AU32" s="85"/>
      <c r="AV32" s="85"/>
      <c r="AW32" s="85"/>
      <c r="AX32" s="85"/>
      <c r="AY32" s="85"/>
      <c r="AZ32" s="85"/>
      <c r="BA32" s="85"/>
    </row>
    <row r="33" spans="1:53" ht="15.75">
      <c r="A33" s="149"/>
      <c r="B33" s="305" t="s">
        <v>77</v>
      </c>
      <c r="C33" s="306"/>
      <c r="D33" s="271">
        <v>46</v>
      </c>
      <c r="E33" s="272"/>
      <c r="F33" s="278">
        <f t="shared" si="9"/>
        <v>9974.6582066126812</v>
      </c>
      <c r="G33" s="279"/>
      <c r="H33" s="275">
        <f t="shared" si="4"/>
        <v>99.74658206612682</v>
      </c>
      <c r="I33" s="276"/>
      <c r="J33" s="277"/>
      <c r="K33" s="75">
        <f t="shared" si="10"/>
        <v>119.69589847935218</v>
      </c>
      <c r="L33" s="81" t="str">
        <f t="shared" si="5"/>
        <v>WIN</v>
      </c>
      <c r="M33" s="242">
        <f>IF(COUNTA($F$6:$F$10)=5,(F34-F24)/F24,"")</f>
        <v>9.435410509203393E-3</v>
      </c>
      <c r="N33" s="238">
        <f t="shared" si="6"/>
        <v>2</v>
      </c>
      <c r="O33" s="14" t="str">
        <f t="shared" si="7"/>
        <v>middle</v>
      </c>
      <c r="P33" s="14">
        <v>16</v>
      </c>
      <c r="Q33" s="14">
        <f t="shared" si="8"/>
        <v>0</v>
      </c>
      <c r="R33" s="14">
        <f t="shared" si="0"/>
        <v>0</v>
      </c>
      <c r="S33" s="14">
        <v>18.5</v>
      </c>
      <c r="T33" s="18" t="str">
        <f t="shared" si="1"/>
        <v/>
      </c>
      <c r="U33" s="14">
        <f t="shared" si="11"/>
        <v>19.5</v>
      </c>
      <c r="V33" s="18" t="str">
        <f t="shared" si="3"/>
        <v/>
      </c>
      <c r="W33" s="39" t="str">
        <f>IF(AND(L33="WIN",L34&lt;&gt;"WIN"),SUMIF(L$24:L33,"WIN",K$24:K33)-SUM(W$23:W32),"")</f>
        <v/>
      </c>
      <c r="X33" s="41" t="str">
        <f>IF(AND(L33="LOSS",L34&lt;&gt;"LOSS"),SUMIF(L$24:L33,"LOSS",K$24:K33)-SUM(X$23:X32),"")</f>
        <v/>
      </c>
      <c r="Y33" s="8"/>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row>
    <row r="34" spans="1:53" ht="15.75">
      <c r="A34" s="149"/>
      <c r="B34" s="305" t="s">
        <v>78</v>
      </c>
      <c r="C34" s="306"/>
      <c r="D34" s="271">
        <v>37</v>
      </c>
      <c r="E34" s="272"/>
      <c r="F34" s="278">
        <f t="shared" si="9"/>
        <v>10094.354105092034</v>
      </c>
      <c r="G34" s="279"/>
      <c r="H34" s="275">
        <f t="shared" si="4"/>
        <v>100.94354105092035</v>
      </c>
      <c r="I34" s="276"/>
      <c r="J34" s="277"/>
      <c r="K34" s="75">
        <f t="shared" si="10"/>
        <v>121.13224926110441</v>
      </c>
      <c r="L34" s="81" t="str">
        <f t="shared" si="5"/>
        <v>WIN</v>
      </c>
      <c r="M34" s="242">
        <f>IF(COUNTA($F$6:$F$10)=5,(F35-F24)/F24,"")</f>
        <v>2.1548635435313917E-2</v>
      </c>
      <c r="N34" s="238">
        <f t="shared" si="6"/>
        <v>3</v>
      </c>
      <c r="O34" s="14" t="str">
        <f t="shared" si="7"/>
        <v>last</v>
      </c>
      <c r="P34" s="14">
        <v>15</v>
      </c>
      <c r="Q34" s="14">
        <f t="shared" si="8"/>
        <v>0</v>
      </c>
      <c r="R34" s="14">
        <f t="shared" si="0"/>
        <v>0</v>
      </c>
      <c r="S34" s="14">
        <v>20.5</v>
      </c>
      <c r="T34" s="18" t="str">
        <f t="shared" si="1"/>
        <v/>
      </c>
      <c r="U34" s="14">
        <f t="shared" si="11"/>
        <v>21.5</v>
      </c>
      <c r="V34" s="18" t="str">
        <f t="shared" si="3"/>
        <v/>
      </c>
      <c r="W34" s="39">
        <f>IF(AND(L34="WIN",L35&lt;&gt;"WIN"),SUMIF(L$24:L34,"WIN",K$24:K34)-SUM(W$23:W33),"")</f>
        <v>359.10472726550819</v>
      </c>
      <c r="X34" s="41" t="str">
        <f>IF(AND(L34="LOSS",L35&lt;&gt;"LOSS"),SUMIF(L$24:L34,"LOSS",K$24:K34)-SUM(X$23:X33),"")</f>
        <v/>
      </c>
      <c r="Y34" s="8"/>
      <c r="Z34" s="85"/>
      <c r="AA34" s="85"/>
      <c r="AB34" s="85"/>
      <c r="AC34" s="85"/>
      <c r="AD34" s="85"/>
      <c r="AE34" s="85"/>
      <c r="AF34" s="85"/>
      <c r="AG34" s="85"/>
      <c r="AH34" s="85"/>
      <c r="AI34" s="85"/>
      <c r="AJ34" s="85"/>
      <c r="AK34" s="85"/>
      <c r="AL34" s="85"/>
      <c r="AM34" s="85"/>
      <c r="AN34" s="85"/>
      <c r="AO34" s="85"/>
      <c r="AP34" s="85"/>
      <c r="AQ34" s="85"/>
      <c r="AR34" s="85"/>
      <c r="AS34" s="85"/>
      <c r="AT34" s="85"/>
      <c r="AU34" s="85"/>
      <c r="AV34" s="85"/>
      <c r="AW34" s="85"/>
      <c r="AX34" s="85"/>
      <c r="AY34" s="85"/>
      <c r="AZ34" s="85"/>
      <c r="BA34" s="85"/>
    </row>
    <row r="35" spans="1:53" ht="15.75">
      <c r="A35" s="149"/>
      <c r="B35" s="305" t="s">
        <v>79</v>
      </c>
      <c r="C35" s="306"/>
      <c r="D35" s="271">
        <v>89</v>
      </c>
      <c r="E35" s="272"/>
      <c r="F35" s="278">
        <f t="shared" si="9"/>
        <v>10215.486354353139</v>
      </c>
      <c r="G35" s="279"/>
      <c r="H35" s="275">
        <f t="shared" si="4"/>
        <v>102.15486354353139</v>
      </c>
      <c r="I35" s="276"/>
      <c r="J35" s="277"/>
      <c r="K35" s="75">
        <f t="shared" si="10"/>
        <v>-102.15486354353139</v>
      </c>
      <c r="L35" s="81" t="str">
        <f t="shared" si="5"/>
        <v>LOSS</v>
      </c>
      <c r="M35" s="242">
        <f>IF(COUNTA($F$6:$F$10)=5,(F36-F24)/F24,"")</f>
        <v>1.133314908096072E-2</v>
      </c>
      <c r="N35" s="238">
        <f t="shared" si="6"/>
        <v>1</v>
      </c>
      <c r="O35" s="14" t="str">
        <f t="shared" si="7"/>
        <v>last</v>
      </c>
      <c r="P35" s="14">
        <v>14</v>
      </c>
      <c r="Q35" s="14">
        <f t="shared" si="8"/>
        <v>0</v>
      </c>
      <c r="R35" s="14">
        <f t="shared" si="0"/>
        <v>0</v>
      </c>
      <c r="S35" s="14">
        <v>22.5</v>
      </c>
      <c r="T35" s="18" t="str">
        <f t="shared" si="1"/>
        <v/>
      </c>
      <c r="U35" s="14">
        <f t="shared" si="11"/>
        <v>23.5</v>
      </c>
      <c r="V35" s="18" t="str">
        <f t="shared" si="3"/>
        <v/>
      </c>
      <c r="W35" s="39" t="str">
        <f>IF(AND(L35="WIN",L36&lt;&gt;"WIN"),SUMIF(L$24:L35,"WIN",K$24:K35)-SUM(W$23:W34),"")</f>
        <v/>
      </c>
      <c r="X35" s="41">
        <f>IF(AND(L35="LOSS",L36&lt;&gt;"LOSS"),SUMIF(L$24:L35,"LOSS",K$24:K35)-SUM(X$23:X34),"")</f>
        <v>-102.15486354353141</v>
      </c>
      <c r="Y35" s="8"/>
      <c r="Z35" s="85"/>
      <c r="AA35" s="85"/>
      <c r="AB35" s="85"/>
      <c r="AC35" s="85"/>
      <c r="AD35" s="85"/>
      <c r="AE35" s="85"/>
      <c r="AF35" s="85"/>
      <c r="AG35" s="85"/>
      <c r="AH35" s="85"/>
      <c r="AI35" s="85"/>
      <c r="AJ35" s="85"/>
      <c r="AK35" s="85"/>
      <c r="AL35" s="85"/>
      <c r="AM35" s="85"/>
      <c r="AN35" s="85"/>
      <c r="AO35" s="85"/>
      <c r="AP35" s="85"/>
      <c r="AQ35" s="85"/>
      <c r="AR35" s="85"/>
      <c r="AS35" s="85"/>
      <c r="AT35" s="85"/>
      <c r="AU35" s="85"/>
      <c r="AV35" s="85"/>
      <c r="AW35" s="85"/>
      <c r="AX35" s="85"/>
      <c r="AY35" s="85"/>
      <c r="AZ35" s="85"/>
      <c r="BA35" s="85"/>
    </row>
    <row r="36" spans="1:53" ht="15.75">
      <c r="A36" s="149"/>
      <c r="B36" s="305" t="s">
        <v>80</v>
      </c>
      <c r="C36" s="306"/>
      <c r="D36" s="271">
        <v>28</v>
      </c>
      <c r="E36" s="272"/>
      <c r="F36" s="278">
        <f t="shared" si="9"/>
        <v>10113.331490809607</v>
      </c>
      <c r="G36" s="279"/>
      <c r="H36" s="275">
        <f t="shared" si="4"/>
        <v>101.13331490809607</v>
      </c>
      <c r="I36" s="276"/>
      <c r="J36" s="277"/>
      <c r="K36" s="75">
        <f t="shared" si="10"/>
        <v>121.35997788971528</v>
      </c>
      <c r="L36" s="81" t="str">
        <f t="shared" si="5"/>
        <v>WIN</v>
      </c>
      <c r="M36" s="242">
        <f>IF(COUNTA($F$6:$F$10)=5,(F37-F24)/F24,"")</f>
        <v>2.346914686993223E-2</v>
      </c>
      <c r="N36" s="238">
        <f t="shared" si="6"/>
        <v>1</v>
      </c>
      <c r="O36" s="14" t="str">
        <f t="shared" si="7"/>
        <v>new</v>
      </c>
      <c r="P36" s="14">
        <v>13</v>
      </c>
      <c r="Q36" s="14">
        <f t="shared" si="8"/>
        <v>0</v>
      </c>
      <c r="R36" s="14">
        <f t="shared" si="0"/>
        <v>0</v>
      </c>
      <c r="S36" s="14">
        <v>24.5</v>
      </c>
      <c r="T36" s="18" t="str">
        <f t="shared" si="1"/>
        <v/>
      </c>
      <c r="U36" s="14">
        <f t="shared" si="11"/>
        <v>25.5</v>
      </c>
      <c r="V36" s="18" t="str">
        <f t="shared" si="3"/>
        <v/>
      </c>
      <c r="W36" s="39" t="str">
        <f>IF(AND(L36="WIN",L37&lt;&gt;"WIN"),SUMIF(L$24:L36,"WIN",K$24:K36)-SUM(W$23:W35),"")</f>
        <v/>
      </c>
      <c r="X36" s="41" t="str">
        <f>IF(AND(L36="LOSS",L37&lt;&gt;"LOSS"),SUMIF(L$24:L36,"LOSS",K$24:K36)-SUM(X$23:X35),"")</f>
        <v/>
      </c>
      <c r="Y36" s="8"/>
      <c r="Z36" s="85"/>
      <c r="AA36" s="85"/>
      <c r="AB36" s="85"/>
      <c r="AC36" s="85"/>
      <c r="AD36" s="85"/>
      <c r="AE36" s="85"/>
      <c r="AF36" s="85"/>
      <c r="AG36" s="85"/>
      <c r="AH36" s="85"/>
      <c r="AI36" s="85"/>
      <c r="AJ36" s="85"/>
      <c r="AK36" s="85"/>
      <c r="AL36" s="85"/>
      <c r="AM36" s="85"/>
      <c r="AN36" s="85"/>
      <c r="AO36" s="85"/>
      <c r="AP36" s="85"/>
      <c r="AQ36" s="85"/>
      <c r="AR36" s="85"/>
      <c r="AS36" s="85"/>
      <c r="AT36" s="85"/>
      <c r="AU36" s="85"/>
      <c r="AV36" s="85"/>
      <c r="AW36" s="85"/>
      <c r="AX36" s="85"/>
      <c r="AY36" s="85"/>
      <c r="AZ36" s="85"/>
      <c r="BA36" s="85"/>
    </row>
    <row r="37" spans="1:53" ht="15.75">
      <c r="A37" s="149"/>
      <c r="B37" s="305" t="s">
        <v>81</v>
      </c>
      <c r="C37" s="306"/>
      <c r="D37" s="271">
        <v>22</v>
      </c>
      <c r="E37" s="272"/>
      <c r="F37" s="278">
        <f t="shared" si="9"/>
        <v>10234.691468699322</v>
      </c>
      <c r="G37" s="279"/>
      <c r="H37" s="275">
        <f t="shared" si="4"/>
        <v>102.34691468699323</v>
      </c>
      <c r="I37" s="276"/>
      <c r="J37" s="277"/>
      <c r="K37" s="75">
        <f t="shared" si="10"/>
        <v>122.81629762439186</v>
      </c>
      <c r="L37" s="81" t="str">
        <f t="shared" si="5"/>
        <v>WIN</v>
      </c>
      <c r="M37" s="242">
        <f>IF(COUNTA($F$6:$F$10)=5,(F38-F24)/F24,"")</f>
        <v>3.5750776632371341E-2</v>
      </c>
      <c r="N37" s="238">
        <f t="shared" si="6"/>
        <v>2</v>
      </c>
      <c r="O37" s="14" t="str">
        <f t="shared" si="7"/>
        <v>middle</v>
      </c>
      <c r="P37" s="14">
        <v>12</v>
      </c>
      <c r="Q37" s="14">
        <f t="shared" si="8"/>
        <v>0</v>
      </c>
      <c r="R37" s="14">
        <f t="shared" si="0"/>
        <v>0</v>
      </c>
      <c r="S37" s="14">
        <v>26.5</v>
      </c>
      <c r="T37" s="18" t="str">
        <f t="shared" si="1"/>
        <v/>
      </c>
      <c r="U37" s="14">
        <f t="shared" si="11"/>
        <v>27.5</v>
      </c>
      <c r="V37" s="18" t="str">
        <f t="shared" si="3"/>
        <v/>
      </c>
      <c r="W37" s="39" t="str">
        <f>IF(AND(L37="WIN",L38&lt;&gt;"WIN"),SUMIF(L$24:L37,"WIN",K$24:K37)-SUM(W$23:W36),"")</f>
        <v/>
      </c>
      <c r="X37" s="41" t="str">
        <f>IF(AND(L37="LOSS",L38&lt;&gt;"LOSS"),SUMIF(L$24:L37,"LOSS",K$24:K37)-SUM(X$23:X36),"")</f>
        <v/>
      </c>
      <c r="Y37" s="8"/>
      <c r="Z37" s="85"/>
      <c r="AA37" s="85"/>
      <c r="AB37" s="85"/>
      <c r="AC37" s="85"/>
      <c r="AD37" s="85"/>
      <c r="AE37" s="85"/>
      <c r="AF37" s="85"/>
      <c r="AG37" s="85"/>
      <c r="AH37" s="85"/>
      <c r="AI37" s="85"/>
      <c r="AJ37" s="85"/>
      <c r="AK37" s="85"/>
      <c r="AL37" s="85"/>
      <c r="AM37" s="85"/>
      <c r="AN37" s="85"/>
      <c r="AO37" s="85"/>
      <c r="AP37" s="85"/>
      <c r="AQ37" s="85"/>
      <c r="AR37" s="85"/>
      <c r="AS37" s="85"/>
      <c r="AT37" s="85"/>
      <c r="AU37" s="85"/>
      <c r="AV37" s="85"/>
      <c r="AW37" s="85"/>
      <c r="AX37" s="85"/>
      <c r="AY37" s="85"/>
      <c r="AZ37" s="85"/>
      <c r="BA37" s="85"/>
    </row>
    <row r="38" spans="1:53" ht="15.75">
      <c r="A38" s="149"/>
      <c r="B38" s="305" t="s">
        <v>82</v>
      </c>
      <c r="C38" s="306"/>
      <c r="D38" s="271">
        <v>22</v>
      </c>
      <c r="E38" s="272"/>
      <c r="F38" s="278">
        <f t="shared" si="9"/>
        <v>10357.507766323713</v>
      </c>
      <c r="G38" s="279"/>
      <c r="H38" s="275">
        <f t="shared" si="4"/>
        <v>103.57507766323714</v>
      </c>
      <c r="I38" s="276"/>
      <c r="J38" s="277"/>
      <c r="K38" s="75">
        <f t="shared" si="10"/>
        <v>124.29009319588457</v>
      </c>
      <c r="L38" s="81" t="str">
        <f t="shared" si="5"/>
        <v>WIN</v>
      </c>
      <c r="M38" s="242">
        <f>IF(COUNTA($F$6:$F$10)=5,(F39-F24)/F24,"")</f>
        <v>4.8179785951959819E-2</v>
      </c>
      <c r="N38" s="238">
        <f t="shared" si="6"/>
        <v>3</v>
      </c>
      <c r="O38" s="14" t="str">
        <f t="shared" si="7"/>
        <v>middle</v>
      </c>
      <c r="P38" s="14">
        <v>11</v>
      </c>
      <c r="Q38" s="14">
        <f t="shared" si="8"/>
        <v>0</v>
      </c>
      <c r="R38" s="14">
        <f t="shared" si="0"/>
        <v>0</v>
      </c>
      <c r="S38" s="14">
        <v>28.5</v>
      </c>
      <c r="T38" s="18" t="str">
        <f t="shared" si="1"/>
        <v/>
      </c>
      <c r="U38" s="14">
        <f t="shared" si="11"/>
        <v>29.5</v>
      </c>
      <c r="V38" s="18" t="str">
        <f t="shared" si="3"/>
        <v/>
      </c>
      <c r="W38" s="39" t="str">
        <f>IF(AND(L38="WIN",L39&lt;&gt;"WIN"),SUMIF(L$24:L38,"WIN",K$24:K38)-SUM(W$23:W37),"")</f>
        <v/>
      </c>
      <c r="X38" s="41" t="str">
        <f>IF(AND(L38="LOSS",L39&lt;&gt;"LOSS"),SUMIF(L$24:L38,"LOSS",K$24:K38)-SUM(X$23:X37),"")</f>
        <v/>
      </c>
      <c r="Y38" s="8"/>
      <c r="Z38" s="85"/>
      <c r="AA38" s="85"/>
      <c r="AB38" s="85"/>
      <c r="AC38" s="85"/>
      <c r="AD38" s="85"/>
      <c r="AE38" s="85"/>
      <c r="AF38" s="85"/>
      <c r="AG38" s="85"/>
      <c r="AH38" s="85"/>
      <c r="AI38" s="85"/>
      <c r="AJ38" s="85"/>
      <c r="AK38" s="85"/>
      <c r="AL38" s="85"/>
      <c r="AM38" s="85"/>
      <c r="AN38" s="85"/>
      <c r="AO38" s="85"/>
      <c r="AP38" s="85"/>
      <c r="AQ38" s="85"/>
      <c r="AR38" s="85"/>
      <c r="AS38" s="85"/>
      <c r="AT38" s="85"/>
      <c r="AU38" s="85"/>
      <c r="AV38" s="85"/>
      <c r="AW38" s="85"/>
      <c r="AX38" s="85"/>
      <c r="AY38" s="85"/>
      <c r="AZ38" s="85"/>
      <c r="BA38" s="85"/>
    </row>
    <row r="39" spans="1:53" ht="15.75">
      <c r="A39" s="149"/>
      <c r="B39" s="305" t="s">
        <v>83</v>
      </c>
      <c r="C39" s="306"/>
      <c r="D39" s="271">
        <v>33</v>
      </c>
      <c r="E39" s="272"/>
      <c r="F39" s="278">
        <f t="shared" si="9"/>
        <v>10481.797859519598</v>
      </c>
      <c r="G39" s="279"/>
      <c r="H39" s="275">
        <f t="shared" si="4"/>
        <v>104.81797859519598</v>
      </c>
      <c r="I39" s="276"/>
      <c r="J39" s="277"/>
      <c r="K39" s="75">
        <f t="shared" si="10"/>
        <v>125.78157431423517</v>
      </c>
      <c r="L39" s="81" t="str">
        <f t="shared" si="5"/>
        <v>WIN</v>
      </c>
      <c r="M39" s="242">
        <f>IF(COUNTA($F$6:$F$10)=5,(F40-F24)/F24,"")</f>
        <v>6.0757943383383278E-2</v>
      </c>
      <c r="N39" s="238">
        <f t="shared" si="6"/>
        <v>4</v>
      </c>
      <c r="O39" s="14" t="str">
        <f t="shared" si="7"/>
        <v>last</v>
      </c>
      <c r="P39" s="14">
        <v>10</v>
      </c>
      <c r="Q39" s="14">
        <f t="shared" si="8"/>
        <v>0</v>
      </c>
      <c r="R39" s="14">
        <f t="shared" si="0"/>
        <v>0</v>
      </c>
      <c r="S39" s="14">
        <v>30.5</v>
      </c>
      <c r="T39" s="18" t="str">
        <f t="shared" si="1"/>
        <v/>
      </c>
      <c r="U39" s="14">
        <f t="shared" si="11"/>
        <v>31.5</v>
      </c>
      <c r="V39" s="18" t="str">
        <f t="shared" si="3"/>
        <v/>
      </c>
      <c r="W39" s="39">
        <f>IF(AND(L39="WIN",L40&lt;&gt;"WIN"),SUMIF(L$24:L39,"WIN",K$24:K39)-SUM(W$23:W38),"")</f>
        <v>494.24794302422708</v>
      </c>
      <c r="X39" s="41" t="str">
        <f>IF(AND(L39="LOSS",L40&lt;&gt;"LOSS"),SUMIF(L$24:L39,"LOSS",K$24:K39)-SUM(X$23:X38),"")</f>
        <v/>
      </c>
      <c r="Y39" s="8"/>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row>
    <row r="40" spans="1:53" ht="15.75">
      <c r="A40" s="149"/>
      <c r="B40" s="305" t="s">
        <v>84</v>
      </c>
      <c r="C40" s="306"/>
      <c r="D40" s="271">
        <v>81</v>
      </c>
      <c r="E40" s="272"/>
      <c r="F40" s="278">
        <f t="shared" si="9"/>
        <v>10607.579433833833</v>
      </c>
      <c r="G40" s="279"/>
      <c r="H40" s="275">
        <f t="shared" si="4"/>
        <v>106.07579433833833</v>
      </c>
      <c r="I40" s="276"/>
      <c r="J40" s="277"/>
      <c r="K40" s="75">
        <f t="shared" si="10"/>
        <v>-106.07579433833833</v>
      </c>
      <c r="L40" s="81" t="str">
        <f t="shared" si="5"/>
        <v>LOSS</v>
      </c>
      <c r="M40" s="242">
        <f>IF(COUNTA($F$6:$F$10)=5,(F41-F24)/F24,"")</f>
        <v>5.0150363949549498E-2</v>
      </c>
      <c r="N40" s="238">
        <f t="shared" si="6"/>
        <v>1</v>
      </c>
      <c r="O40" s="14" t="str">
        <f t="shared" si="7"/>
        <v>last</v>
      </c>
      <c r="P40" s="14">
        <v>9</v>
      </c>
      <c r="Q40" s="14">
        <f t="shared" si="8"/>
        <v>1</v>
      </c>
      <c r="R40" s="14">
        <f t="shared" si="0"/>
        <v>0</v>
      </c>
      <c r="S40" s="14">
        <v>32.5</v>
      </c>
      <c r="T40" s="18">
        <f t="shared" si="1"/>
        <v>1.7999999999999999E-2</v>
      </c>
      <c r="U40" s="14">
        <f t="shared" si="11"/>
        <v>33.5</v>
      </c>
      <c r="V40" s="18" t="str">
        <f t="shared" si="3"/>
        <v/>
      </c>
      <c r="W40" s="39" t="str">
        <f>IF(AND(L40="WIN",L41&lt;&gt;"WIN"),SUMIF(L$24:L40,"WIN",K$24:K40)-SUM(W$23:W39),"")</f>
        <v/>
      </c>
      <c r="X40" s="41">
        <f>IF(AND(L40="LOSS",L41&lt;&gt;"LOSS"),SUMIF(L$24:L40,"LOSS",K$24:K40)-SUM(X$23:X39),"")</f>
        <v>-106.07579433833837</v>
      </c>
      <c r="Y40" s="8"/>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row>
    <row r="41" spans="1:53" ht="15.75">
      <c r="A41" s="149"/>
      <c r="B41" s="305" t="s">
        <v>85</v>
      </c>
      <c r="C41" s="306"/>
      <c r="D41" s="271">
        <v>47</v>
      </c>
      <c r="E41" s="272"/>
      <c r="F41" s="278">
        <f t="shared" si="9"/>
        <v>10501.503639495495</v>
      </c>
      <c r="G41" s="279"/>
      <c r="H41" s="275">
        <f t="shared" si="4"/>
        <v>105.01503639495495</v>
      </c>
      <c r="I41" s="276"/>
      <c r="J41" s="277"/>
      <c r="K41" s="75">
        <f t="shared" si="10"/>
        <v>126.01804367394593</v>
      </c>
      <c r="L41" s="81" t="str">
        <f t="shared" si="5"/>
        <v>WIN</v>
      </c>
      <c r="M41" s="242">
        <f>IF(COUNTA($F$6:$F$10)=5,(F42-F24)/F24,"")</f>
        <v>6.2752168316944149E-2</v>
      </c>
      <c r="N41" s="238">
        <f t="shared" si="6"/>
        <v>1</v>
      </c>
      <c r="O41" s="14" t="str">
        <f t="shared" si="7"/>
        <v>new</v>
      </c>
      <c r="P41" s="14">
        <v>8</v>
      </c>
      <c r="Q41" s="14">
        <f t="shared" si="8"/>
        <v>1</v>
      </c>
      <c r="R41" s="14">
        <f t="shared" si="0"/>
        <v>0</v>
      </c>
      <c r="S41" s="14">
        <v>34.5</v>
      </c>
      <c r="T41" s="18">
        <f t="shared" si="1"/>
        <v>1.6E-2</v>
      </c>
      <c r="U41" s="14">
        <f t="array" ref="U41">S41+1</f>
        <v>35.5</v>
      </c>
      <c r="V41" s="18" t="str">
        <f t="shared" si="3"/>
        <v/>
      </c>
      <c r="W41" s="39" t="str">
        <f>IF(AND(L41="WIN",L42&lt;&gt;"WIN"),SUMIF(L$24:L41,"WIN",K$24:K41)-SUM(W$23:W40),"")</f>
        <v/>
      </c>
      <c r="X41" s="41" t="str">
        <f>IF(AND(L41="LOSS",L42&lt;&gt;"LOSS"),SUMIF(L$24:L41,"LOSS",K$24:K41)-SUM(X$23:X40),"")</f>
        <v/>
      </c>
      <c r="Y41" s="8"/>
      <c r="Z41" s="85"/>
      <c r="AA41" s="85"/>
      <c r="AB41" s="85"/>
      <c r="AC41" s="85"/>
      <c r="AD41" s="85"/>
      <c r="AE41" s="85"/>
      <c r="AF41" s="85"/>
      <c r="AG41" s="85"/>
      <c r="AH41" s="85"/>
      <c r="AI41" s="85"/>
      <c r="AJ41" s="85"/>
      <c r="AK41" s="85"/>
      <c r="AL41" s="85"/>
      <c r="AM41" s="85"/>
      <c r="AN41" s="85"/>
      <c r="AO41" s="85"/>
      <c r="AP41" s="85"/>
      <c r="AQ41" s="85"/>
      <c r="AR41" s="85"/>
      <c r="AS41" s="85"/>
      <c r="AT41" s="85"/>
      <c r="AU41" s="85"/>
      <c r="AV41" s="85"/>
      <c r="AW41" s="85"/>
      <c r="AX41" s="85"/>
      <c r="AY41" s="85"/>
      <c r="AZ41" s="85"/>
      <c r="BA41" s="85"/>
    </row>
    <row r="42" spans="1:53" ht="15.75">
      <c r="A42" s="149"/>
      <c r="B42" s="305" t="s">
        <v>86</v>
      </c>
      <c r="C42" s="306"/>
      <c r="D42" s="271">
        <v>38</v>
      </c>
      <c r="E42" s="272"/>
      <c r="F42" s="278">
        <f t="shared" si="9"/>
        <v>10627.521683169442</v>
      </c>
      <c r="G42" s="279"/>
      <c r="H42" s="275">
        <f t="shared" si="4"/>
        <v>106.27521683169442</v>
      </c>
      <c r="I42" s="276"/>
      <c r="J42" s="277"/>
      <c r="K42" s="75">
        <f t="shared" si="10"/>
        <v>127.5302601980333</v>
      </c>
      <c r="L42" s="81" t="str">
        <f t="shared" si="5"/>
        <v>WIN</v>
      </c>
      <c r="M42" s="242">
        <f>IF(COUNTA($F$6:$F$10)=5,(F43-F24)/F24,"")</f>
        <v>7.5505194336747447E-2</v>
      </c>
      <c r="N42" s="238">
        <f t="shared" si="6"/>
        <v>2</v>
      </c>
      <c r="O42" s="14" t="str">
        <f t="shared" si="7"/>
        <v>middle</v>
      </c>
      <c r="P42" s="14">
        <v>7</v>
      </c>
      <c r="Q42" s="14">
        <f t="shared" si="8"/>
        <v>3</v>
      </c>
      <c r="R42" s="14">
        <f t="shared" si="0"/>
        <v>1</v>
      </c>
      <c r="S42" s="14">
        <v>36.5</v>
      </c>
      <c r="T42" s="18">
        <f t="shared" si="1"/>
        <v>4.2000000000000003E-2</v>
      </c>
      <c r="U42" s="14">
        <f t="shared" ref="U42:U48" si="12">S42+1</f>
        <v>37.5</v>
      </c>
      <c r="V42" s="18">
        <f t="shared" si="3"/>
        <v>1.4E-2</v>
      </c>
      <c r="W42" s="39" t="str">
        <f>IF(AND(L42="WIN",L43&lt;&gt;"WIN"),SUMIF(L$24:L42,"WIN",K$24:K42)-SUM(W$23:W41),"")</f>
        <v/>
      </c>
      <c r="X42" s="41" t="str">
        <f>IF(AND(L42="LOSS",L43&lt;&gt;"LOSS"),SUMIF(L$24:L42,"LOSS",K$24:K42)-SUM(X$23:X41),"")</f>
        <v/>
      </c>
      <c r="Y42" s="8"/>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row>
    <row r="43" spans="1:53" ht="15.75">
      <c r="A43" s="149"/>
      <c r="B43" s="305" t="s">
        <v>87</v>
      </c>
      <c r="C43" s="306"/>
      <c r="D43" s="271">
        <v>30</v>
      </c>
      <c r="E43" s="272"/>
      <c r="F43" s="278">
        <f t="shared" si="9"/>
        <v>10755.051943367474</v>
      </c>
      <c r="G43" s="279"/>
      <c r="H43" s="275">
        <f t="shared" si="4"/>
        <v>107.55051943367475</v>
      </c>
      <c r="I43" s="276"/>
      <c r="J43" s="277"/>
      <c r="K43" s="75">
        <f t="shared" si="10"/>
        <v>129.06062332040969</v>
      </c>
      <c r="L43" s="81" t="str">
        <f t="shared" si="5"/>
        <v>WIN</v>
      </c>
      <c r="M43" s="242">
        <f>IF(COUNTA($F$6:$F$10)=5,(F44-F24)/F24,"")</f>
        <v>8.8411256668788338E-2</v>
      </c>
      <c r="N43" s="238">
        <f t="shared" si="6"/>
        <v>3</v>
      </c>
      <c r="O43" s="14" t="str">
        <f t="shared" si="7"/>
        <v>middle</v>
      </c>
      <c r="P43" s="14">
        <v>6</v>
      </c>
      <c r="Q43" s="14">
        <f t="shared" si="8"/>
        <v>1</v>
      </c>
      <c r="R43" s="14">
        <f t="shared" si="0"/>
        <v>0</v>
      </c>
      <c r="S43" s="14">
        <v>38.5</v>
      </c>
      <c r="T43" s="18">
        <f t="shared" si="1"/>
        <v>1.2E-2</v>
      </c>
      <c r="U43" s="14">
        <f t="shared" si="12"/>
        <v>39.5</v>
      </c>
      <c r="V43" s="18" t="str">
        <f t="shared" si="3"/>
        <v/>
      </c>
      <c r="W43" s="39" t="str">
        <f>IF(AND(L43="WIN",L44&lt;&gt;"WIN"),SUMIF(L$24:L43,"WIN",K$24:K43)-SUM(W$23:W42),"")</f>
        <v/>
      </c>
      <c r="X43" s="41" t="str">
        <f>IF(AND(L43="LOSS",L44&lt;&gt;"LOSS"),SUMIF(L$24:L43,"LOSS",K$24:K43)-SUM(X$23:X42),"")</f>
        <v/>
      </c>
      <c r="Y43" s="8"/>
      <c r="Z43" s="85"/>
      <c r="AA43" s="85"/>
      <c r="AB43" s="85"/>
      <c r="AC43" s="85"/>
      <c r="AD43" s="85"/>
      <c r="AE43" s="85"/>
      <c r="AF43" s="85"/>
      <c r="AG43" s="85"/>
      <c r="AH43" s="85"/>
      <c r="AI43" s="85"/>
      <c r="AJ43" s="85"/>
      <c r="AK43" s="85"/>
      <c r="AL43" s="85"/>
      <c r="AM43" s="85"/>
      <c r="AN43" s="85"/>
      <c r="AO43" s="85"/>
      <c r="AP43" s="85"/>
      <c r="AQ43" s="85"/>
      <c r="AR43" s="85"/>
      <c r="AS43" s="85"/>
      <c r="AT43" s="85"/>
      <c r="AU43" s="85"/>
      <c r="AV43" s="85"/>
      <c r="AW43" s="85"/>
      <c r="AX43" s="85"/>
      <c r="AY43" s="85"/>
      <c r="AZ43" s="85"/>
      <c r="BA43" s="85"/>
    </row>
    <row r="44" spans="1:53" ht="15.75">
      <c r="A44" s="149"/>
      <c r="B44" s="305" t="s">
        <v>88</v>
      </c>
      <c r="C44" s="306"/>
      <c r="D44" s="271">
        <v>29</v>
      </c>
      <c r="E44" s="272"/>
      <c r="F44" s="278">
        <f t="shared" si="9"/>
        <v>10884.112566687883</v>
      </c>
      <c r="G44" s="279"/>
      <c r="H44" s="275">
        <f t="shared" si="4"/>
        <v>108.84112566687884</v>
      </c>
      <c r="I44" s="276"/>
      <c r="J44" s="277"/>
      <c r="K44" s="75">
        <f t="shared" si="10"/>
        <v>130.60935080025459</v>
      </c>
      <c r="L44" s="81" t="str">
        <f t="shared" si="5"/>
        <v>WIN</v>
      </c>
      <c r="M44" s="242">
        <f>IF(COUNTA($F$6:$F$10)=5,(F45-F24)/F24,"")</f>
        <v>0.10147219174881375</v>
      </c>
      <c r="N44" s="238">
        <f t="shared" si="6"/>
        <v>4</v>
      </c>
      <c r="O44" s="14" t="str">
        <f t="shared" si="7"/>
        <v>middle</v>
      </c>
      <c r="P44" s="14">
        <v>5</v>
      </c>
      <c r="Q44" s="14">
        <f t="shared" si="8"/>
        <v>3</v>
      </c>
      <c r="R44" s="14">
        <f t="shared" si="0"/>
        <v>4</v>
      </c>
      <c r="S44" s="14">
        <v>40.5</v>
      </c>
      <c r="T44" s="18">
        <f t="shared" si="1"/>
        <v>0.03</v>
      </c>
      <c r="U44" s="14">
        <f>S44+1</f>
        <v>41.5</v>
      </c>
      <c r="V44" s="18">
        <f t="shared" si="3"/>
        <v>0.04</v>
      </c>
      <c r="W44" s="39" t="str">
        <f>IF(AND(L44="WIN",L45&lt;&gt;"WIN"),SUMIF(L$24:L44,"WIN",K$24:K44)-SUM(W$23:W43),"")</f>
        <v/>
      </c>
      <c r="X44" s="41" t="str">
        <f>IF(AND(L44="LOSS",L45&lt;&gt;"LOSS"),SUMIF(L$24:L44,"LOSS",K$24:K44)-SUM(X$23:X43),"")</f>
        <v/>
      </c>
      <c r="Y44" s="8"/>
      <c r="Z44" s="85"/>
      <c r="AA44" s="85"/>
      <c r="AB44" s="85"/>
      <c r="AC44" s="85"/>
      <c r="AD44" s="85"/>
      <c r="AE44" s="85"/>
      <c r="AF44" s="85"/>
      <c r="AG44" s="85"/>
      <c r="AH44" s="85"/>
      <c r="AI44" s="85"/>
      <c r="AJ44" s="85"/>
      <c r="AK44" s="85"/>
      <c r="AL44" s="85"/>
      <c r="AM44" s="85"/>
      <c r="AN44" s="85"/>
      <c r="AO44" s="85"/>
      <c r="AP44" s="85"/>
      <c r="AQ44" s="85"/>
      <c r="AR44" s="85"/>
      <c r="AS44" s="85"/>
      <c r="AT44" s="85"/>
      <c r="AU44" s="85"/>
      <c r="AV44" s="85"/>
      <c r="AW44" s="85"/>
      <c r="AX44" s="85"/>
      <c r="AY44" s="85"/>
      <c r="AZ44" s="85"/>
      <c r="BA44" s="85"/>
    </row>
    <row r="45" spans="1:53" ht="15.75">
      <c r="A45" s="149"/>
      <c r="B45" s="305" t="s">
        <v>89</v>
      </c>
      <c r="C45" s="306"/>
      <c r="D45" s="271">
        <v>21</v>
      </c>
      <c r="E45" s="272"/>
      <c r="F45" s="278">
        <f t="shared" si="9"/>
        <v>11014.721917488137</v>
      </c>
      <c r="G45" s="279"/>
      <c r="H45" s="275">
        <f t="shared" si="4"/>
        <v>110.14721917488137</v>
      </c>
      <c r="I45" s="276"/>
      <c r="J45" s="277"/>
      <c r="K45" s="75">
        <f t="shared" si="10"/>
        <v>132.17666300985763</v>
      </c>
      <c r="L45" s="81" t="str">
        <f t="shared" si="5"/>
        <v>WIN</v>
      </c>
      <c r="M45" s="242">
        <f>IF(COUNTA($F$6:$F$10)=5,(F46-F24)/F24,"")</f>
        <v>0.11468985804979948</v>
      </c>
      <c r="N45" s="238">
        <f t="shared" si="6"/>
        <v>5</v>
      </c>
      <c r="O45" s="14" t="str">
        <f t="shared" si="7"/>
        <v>last</v>
      </c>
      <c r="P45" s="14">
        <v>4</v>
      </c>
      <c r="Q45" s="14">
        <f t="shared" si="8"/>
        <v>9</v>
      </c>
      <c r="R45" s="14">
        <f t="shared" si="0"/>
        <v>10</v>
      </c>
      <c r="S45" s="14">
        <v>42.5</v>
      </c>
      <c r="T45" s="18">
        <f t="shared" si="1"/>
        <v>7.1999999999999995E-2</v>
      </c>
      <c r="U45" s="14">
        <f>S45+1</f>
        <v>43.5</v>
      </c>
      <c r="V45" s="18">
        <f t="shared" si="3"/>
        <v>0.08</v>
      </c>
      <c r="W45" s="39">
        <f>IF(AND(L45="WIN",L46&lt;&gt;"WIN"),SUMIF(L$24:L45,"WIN",K$24:K45)-SUM(W$23:W44),"")</f>
        <v>645.39494100250113</v>
      </c>
      <c r="X45" s="41" t="str">
        <f>IF(AND(L45="LOSS",L46&lt;&gt;"LOSS"),SUMIF(L$24:L45,"LOSS",K$24:K45)-SUM(X$23:X44),"")</f>
        <v/>
      </c>
      <c r="Y45" s="8"/>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row>
    <row r="46" spans="1:53" ht="15.75">
      <c r="A46" s="149"/>
      <c r="B46" s="305" t="s">
        <v>90</v>
      </c>
      <c r="C46" s="306"/>
      <c r="D46" s="271">
        <v>61</v>
      </c>
      <c r="E46" s="272"/>
      <c r="F46" s="278">
        <f t="shared" si="9"/>
        <v>11146.898580497995</v>
      </c>
      <c r="G46" s="279"/>
      <c r="H46" s="275">
        <f t="shared" si="4"/>
        <v>111.46898580497995</v>
      </c>
      <c r="I46" s="276"/>
      <c r="J46" s="277"/>
      <c r="K46" s="75">
        <f t="shared" si="10"/>
        <v>-111.46898580497995</v>
      </c>
      <c r="L46" s="81" t="str">
        <f t="shared" si="5"/>
        <v>LOSS</v>
      </c>
      <c r="M46" s="242">
        <f>IF(COUNTA($F$6:$F$10)=5,(F47-F24)/F24,"")</f>
        <v>0.10354295946930142</v>
      </c>
      <c r="N46" s="238">
        <f t="shared" si="6"/>
        <v>1</v>
      </c>
      <c r="O46" s="14" t="str">
        <f t="shared" si="7"/>
        <v>last</v>
      </c>
      <c r="P46" s="14">
        <v>3</v>
      </c>
      <c r="Q46" s="14">
        <f t="shared" si="8"/>
        <v>20</v>
      </c>
      <c r="R46" s="14">
        <f t="shared" si="0"/>
        <v>15</v>
      </c>
      <c r="S46" s="14">
        <v>44.5</v>
      </c>
      <c r="T46" s="18">
        <f t="shared" si="1"/>
        <v>0.12</v>
      </c>
      <c r="U46" s="14">
        <f t="shared" si="12"/>
        <v>45.5</v>
      </c>
      <c r="V46" s="18">
        <f t="shared" si="3"/>
        <v>0.09</v>
      </c>
      <c r="W46" s="39" t="str">
        <f>IF(AND(L46="WIN",L47&lt;&gt;"WIN"),SUMIF(L$24:L46,"WIN",K$24:K46)-SUM(W$23:W45),"")</f>
        <v/>
      </c>
      <c r="X46" s="41">
        <f>IF(AND(L46="LOSS",L47&lt;&gt;"LOSS"),SUMIF(L$24:L46,"LOSS",K$24:K46)-SUM(X$23:X45),"")</f>
        <v>-111.46898580497998</v>
      </c>
      <c r="Y46" s="8"/>
      <c r="Z46" s="85"/>
      <c r="AA46" s="85"/>
      <c r="AB46" s="85"/>
      <c r="AC46" s="85"/>
      <c r="AD46" s="85"/>
      <c r="AE46" s="85"/>
      <c r="AF46" s="85"/>
      <c r="AG46" s="85"/>
      <c r="AH46" s="85"/>
      <c r="AI46" s="85"/>
      <c r="AJ46" s="85"/>
      <c r="AK46" s="85"/>
      <c r="AL46" s="85"/>
      <c r="AM46" s="85"/>
      <c r="AN46" s="85"/>
      <c r="AO46" s="85"/>
      <c r="AP46" s="85"/>
      <c r="AQ46" s="85"/>
      <c r="AR46" s="85"/>
      <c r="AS46" s="85"/>
      <c r="AT46" s="85"/>
      <c r="AU46" s="85"/>
      <c r="AV46" s="85"/>
      <c r="AW46" s="85"/>
      <c r="AX46" s="85"/>
      <c r="AY46" s="85"/>
      <c r="AZ46" s="85"/>
      <c r="BA46" s="85"/>
    </row>
    <row r="47" spans="1:53" ht="15.75">
      <c r="A47" s="149"/>
      <c r="B47" s="305" t="s">
        <v>91</v>
      </c>
      <c r="C47" s="306"/>
      <c r="D47" s="271">
        <v>48</v>
      </c>
      <c r="E47" s="272"/>
      <c r="F47" s="278">
        <f t="shared" si="9"/>
        <v>11035.429594693014</v>
      </c>
      <c r="G47" s="279"/>
      <c r="H47" s="275">
        <f t="shared" si="4"/>
        <v>110.35429594693015</v>
      </c>
      <c r="I47" s="276"/>
      <c r="J47" s="277"/>
      <c r="K47" s="75">
        <f t="shared" si="10"/>
        <v>132.42515513631616</v>
      </c>
      <c r="L47" s="81" t="str">
        <f t="shared" si="5"/>
        <v>WIN</v>
      </c>
      <c r="M47" s="242">
        <f>IF(COUNTA($F$6:$F$10)=5,(F48-F24)/F24,"")</f>
        <v>0.11678547498293301</v>
      </c>
      <c r="N47" s="238">
        <f t="shared" si="6"/>
        <v>1</v>
      </c>
      <c r="O47" s="14" t="str">
        <f t="shared" si="7"/>
        <v>new</v>
      </c>
      <c r="P47" s="14">
        <v>2</v>
      </c>
      <c r="Q47" s="14">
        <f t="shared" si="8"/>
        <v>27</v>
      </c>
      <c r="R47" s="14">
        <f t="shared" si="0"/>
        <v>25</v>
      </c>
      <c r="S47" s="14">
        <v>46.5</v>
      </c>
      <c r="T47" s="18">
        <f t="shared" si="1"/>
        <v>0.108</v>
      </c>
      <c r="U47" s="14">
        <f t="shared" si="12"/>
        <v>47.5</v>
      </c>
      <c r="V47" s="18">
        <f t="shared" si="3"/>
        <v>0.1</v>
      </c>
      <c r="W47" s="39" t="str">
        <f>IF(AND(L47="WIN",L48&lt;&gt;"WIN"),SUMIF(L$24:L47,"WIN",K$24:K47)-SUM(W$23:W46),"")</f>
        <v/>
      </c>
      <c r="X47" s="41" t="str">
        <f>IF(AND(L47="LOSS",L48&lt;&gt;"LOSS"),SUMIF(L$24:L47,"LOSS",K$24:K47)-SUM(X$23:X46),"")</f>
        <v/>
      </c>
      <c r="Y47" s="8"/>
      <c r="Z47" s="85"/>
      <c r="AA47" s="85"/>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85"/>
      <c r="BA47" s="85"/>
    </row>
    <row r="48" spans="1:53" ht="15.75">
      <c r="A48" s="149"/>
      <c r="B48" s="305" t="s">
        <v>92</v>
      </c>
      <c r="C48" s="306"/>
      <c r="D48" s="271">
        <v>42</v>
      </c>
      <c r="E48" s="272"/>
      <c r="F48" s="278">
        <f t="shared" si="9"/>
        <v>11167.85474982933</v>
      </c>
      <c r="G48" s="279"/>
      <c r="H48" s="275">
        <f t="shared" si="4"/>
        <v>111.6785474982933</v>
      </c>
      <c r="I48" s="276"/>
      <c r="J48" s="277"/>
      <c r="K48" s="75">
        <f t="shared" si="10"/>
        <v>134.01425699795195</v>
      </c>
      <c r="L48" s="81" t="str">
        <f t="shared" si="5"/>
        <v>WIN</v>
      </c>
      <c r="M48" s="242">
        <f>IF(COUNTA($F$6:$F$10)=5,(F49-F24)/F24,"")</f>
        <v>0.13018690068272826</v>
      </c>
      <c r="N48" s="238">
        <f t="shared" si="6"/>
        <v>2</v>
      </c>
      <c r="O48" s="14" t="str">
        <f t="shared" si="7"/>
        <v>middle</v>
      </c>
      <c r="P48" s="14">
        <v>1</v>
      </c>
      <c r="Q48" s="14">
        <f t="shared" si="8"/>
        <v>58</v>
      </c>
      <c r="R48" s="14">
        <f t="shared" si="0"/>
        <v>68</v>
      </c>
      <c r="S48" s="14">
        <v>48.5</v>
      </c>
      <c r="T48" s="18">
        <f>IF(Q48=0,"",Q48*$P48/500)</f>
        <v>0.11600000000000001</v>
      </c>
      <c r="U48" s="14">
        <f t="shared" si="12"/>
        <v>49.5</v>
      </c>
      <c r="V48" s="18">
        <f>IF(R48=0,"",R48*$P48/500)</f>
        <v>0.13600000000000001</v>
      </c>
      <c r="W48" s="39" t="str">
        <f>IF(AND(L48="WIN",L49&lt;&gt;"WIN"),SUMIF(L$24:L48,"WIN",K$24:K48)-SUM(W$23:W47),"")</f>
        <v/>
      </c>
      <c r="X48" s="41" t="str">
        <f>IF(AND(L48="LOSS",L49&lt;&gt;"LOSS"),SUMIF(L$24:L48,"LOSS",K$24:K48)-SUM(X$23:X47),"")</f>
        <v/>
      </c>
      <c r="Y48" s="8"/>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row>
    <row r="49" spans="1:53" ht="15.75">
      <c r="A49" s="149"/>
      <c r="B49" s="305" t="s">
        <v>93</v>
      </c>
      <c r="C49" s="306"/>
      <c r="D49" s="271">
        <v>7</v>
      </c>
      <c r="E49" s="272"/>
      <c r="F49" s="278">
        <f t="shared" si="9"/>
        <v>11301.869006827283</v>
      </c>
      <c r="G49" s="279"/>
      <c r="H49" s="275">
        <f t="shared" si="4"/>
        <v>113.01869006827283</v>
      </c>
      <c r="I49" s="276"/>
      <c r="J49" s="277"/>
      <c r="K49" s="75">
        <f t="shared" si="10"/>
        <v>135.62242808192738</v>
      </c>
      <c r="L49" s="81" t="str">
        <f t="shared" si="5"/>
        <v>WIN</v>
      </c>
      <c r="M49" s="242">
        <f>IF(COUNTA($F$6:$F$10)=5,(F50-F24)/F24,"")</f>
        <v>0.14374914349092105</v>
      </c>
      <c r="N49" s="238">
        <f t="shared" si="6"/>
        <v>3</v>
      </c>
      <c r="O49" s="14" t="str">
        <f t="shared" si="7"/>
        <v>middle</v>
      </c>
      <c r="P49" s="14"/>
      <c r="Q49" s="14"/>
      <c r="R49" s="14"/>
      <c r="S49" s="14"/>
      <c r="T49" s="14"/>
      <c r="U49" s="14"/>
      <c r="V49" s="14"/>
      <c r="W49" s="39" t="str">
        <f>IF(AND(L49="WIN",L50&lt;&gt;"WIN"),SUMIF(L$24:L49,"WIN",K$24:K49)-SUM(W$23:W48),"")</f>
        <v/>
      </c>
      <c r="X49" s="41" t="str">
        <f>IF(AND(L49="LOSS",L50&lt;&gt;"LOSS"),SUMIF(L$24:L49,"LOSS",K$24:K49)-SUM(X$23:X48),"")</f>
        <v/>
      </c>
      <c r="Y49" s="8"/>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row>
    <row r="50" spans="1:53" ht="15.75">
      <c r="A50" s="149"/>
      <c r="B50" s="305" t="s">
        <v>94</v>
      </c>
      <c r="C50" s="306"/>
      <c r="D50" s="271">
        <v>37</v>
      </c>
      <c r="E50" s="272"/>
      <c r="F50" s="278">
        <f t="shared" si="9"/>
        <v>11437.491434909211</v>
      </c>
      <c r="G50" s="279"/>
      <c r="H50" s="275">
        <f t="shared" si="4"/>
        <v>114.37491434909211</v>
      </c>
      <c r="I50" s="276"/>
      <c r="J50" s="277"/>
      <c r="K50" s="75">
        <f t="shared" si="10"/>
        <v>137.24989721891052</v>
      </c>
      <c r="L50" s="81" t="str">
        <f t="shared" si="5"/>
        <v>WIN</v>
      </c>
      <c r="M50" s="242">
        <f>IF(COUNTA($F$6:$F$10)=5,(F51-F24)/F24,"")</f>
        <v>0.1574741332128122</v>
      </c>
      <c r="N50" s="238">
        <f t="shared" si="6"/>
        <v>4</v>
      </c>
      <c r="O50" s="14" t="str">
        <f t="shared" si="7"/>
        <v>middle</v>
      </c>
      <c r="P50" s="14"/>
      <c r="Q50" s="14"/>
      <c r="R50" s="14"/>
      <c r="S50" s="14"/>
      <c r="T50" s="14"/>
      <c r="U50" s="14"/>
      <c r="V50" s="14"/>
      <c r="W50" s="39" t="str">
        <f>IF(AND(L50="WIN",L51&lt;&gt;"WIN"),SUMIF(L$24:L50,"WIN",K$24:K50)-SUM(W$23:W49),"")</f>
        <v/>
      </c>
      <c r="X50" s="41" t="str">
        <f>IF(AND(L50="LOSS",L51&lt;&gt;"LOSS"),SUMIF(L$24:L50,"LOSS",K$24:K50)-SUM(X$23:X49),"")</f>
        <v/>
      </c>
      <c r="Y50" s="8"/>
      <c r="Z50" s="85"/>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row>
    <row r="51" spans="1:53" ht="15.75">
      <c r="A51" s="149"/>
      <c r="B51" s="305" t="s">
        <v>95</v>
      </c>
      <c r="C51" s="306"/>
      <c r="D51" s="271">
        <v>33</v>
      </c>
      <c r="E51" s="272"/>
      <c r="F51" s="278">
        <f t="shared" si="9"/>
        <v>11574.741332128122</v>
      </c>
      <c r="G51" s="279"/>
      <c r="H51" s="275">
        <f t="shared" si="4"/>
        <v>115.74741332128121</v>
      </c>
      <c r="I51" s="276"/>
      <c r="J51" s="277"/>
      <c r="K51" s="75">
        <f t="shared" si="10"/>
        <v>138.89689598553744</v>
      </c>
      <c r="L51" s="81" t="str">
        <f t="shared" si="5"/>
        <v>WIN</v>
      </c>
      <c r="M51" s="242">
        <f>IF(COUNTA($F$6:$F$10)=5,(F52-F24)/F24,"")</f>
        <v>0.17136382281136595</v>
      </c>
      <c r="N51" s="238">
        <f t="shared" si="6"/>
        <v>5</v>
      </c>
      <c r="O51" s="14" t="str">
        <f t="shared" si="7"/>
        <v>middle</v>
      </c>
      <c r="P51" s="14"/>
      <c r="Q51" s="14"/>
      <c r="R51" s="14"/>
      <c r="S51" s="14"/>
      <c r="T51" s="14"/>
      <c r="U51" s="14"/>
      <c r="V51" s="14"/>
      <c r="W51" s="39" t="str">
        <f>IF(AND(L51="WIN",L52&lt;&gt;"WIN"),SUMIF(L$24:L51,"WIN",K$24:K51)-SUM(W$23:W50),"")</f>
        <v/>
      </c>
      <c r="X51" s="41" t="str">
        <f>IF(AND(L51="LOSS",L52&lt;&gt;"LOSS"),SUMIF(L$24:L51,"LOSS",K$24:K51)-SUM(X$23:X50),"")</f>
        <v/>
      </c>
      <c r="Y51" s="8"/>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row>
    <row r="52" spans="1:53" ht="15.75">
      <c r="A52" s="149"/>
      <c r="B52" s="305" t="s">
        <v>96</v>
      </c>
      <c r="C52" s="306"/>
      <c r="D52" s="271">
        <v>40</v>
      </c>
      <c r="E52" s="272"/>
      <c r="F52" s="278">
        <f t="shared" si="9"/>
        <v>11713.638228113659</v>
      </c>
      <c r="G52" s="279"/>
      <c r="H52" s="275">
        <f t="shared" si="4"/>
        <v>117.13638228113659</v>
      </c>
      <c r="I52" s="276"/>
      <c r="J52" s="277"/>
      <c r="K52" s="75">
        <f t="shared" si="10"/>
        <v>140.56365873736391</v>
      </c>
      <c r="L52" s="81" t="str">
        <f t="shared" si="5"/>
        <v>WIN</v>
      </c>
      <c r="M52" s="242">
        <f>IF(COUNTA($F$6:$F$10)=5,(F53-F24)/F24,"")</f>
        <v>0.18542018868510241</v>
      </c>
      <c r="N52" s="238">
        <f t="shared" si="6"/>
        <v>6</v>
      </c>
      <c r="O52" s="14" t="str">
        <f t="shared" si="7"/>
        <v>middle</v>
      </c>
      <c r="P52" s="14"/>
      <c r="Q52" s="14"/>
      <c r="R52" s="14"/>
      <c r="S52" s="14"/>
      <c r="T52" s="14"/>
      <c r="U52" s="14"/>
      <c r="V52" s="14"/>
      <c r="W52" s="39" t="str">
        <f>IF(AND(L52="WIN",L53&lt;&gt;"WIN"),SUMIF(L$24:L52,"WIN",K$24:K52)-SUM(W$23:W51),"")</f>
        <v/>
      </c>
      <c r="X52" s="41" t="str">
        <f>IF(AND(L52="LOSS",L53&lt;&gt;"LOSS"),SUMIF(L$24:L52,"LOSS",K$24:K52)-SUM(X$23:X51),"")</f>
        <v/>
      </c>
      <c r="Y52" s="8"/>
      <c r="Z52" s="85"/>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row>
    <row r="53" spans="1:53" ht="18">
      <c r="A53" s="149"/>
      <c r="B53" s="305" t="s">
        <v>97</v>
      </c>
      <c r="C53" s="306"/>
      <c r="D53" s="271">
        <v>17</v>
      </c>
      <c r="E53" s="272"/>
      <c r="F53" s="278">
        <f t="shared" si="9"/>
        <v>11854.201886851024</v>
      </c>
      <c r="G53" s="279"/>
      <c r="H53" s="275">
        <f t="shared" si="4"/>
        <v>118.54201886851024</v>
      </c>
      <c r="I53" s="276"/>
      <c r="J53" s="277"/>
      <c r="K53" s="75">
        <f t="shared" si="10"/>
        <v>142.25042264221227</v>
      </c>
      <c r="L53" s="81" t="str">
        <f t="shared" si="5"/>
        <v>WIN</v>
      </c>
      <c r="M53" s="242">
        <f>IF(COUNTA($F$6:$F$10)=5,(F54-F24)/F24,"")</f>
        <v>0.19964523094932357</v>
      </c>
      <c r="N53" s="238">
        <f t="shared" si="6"/>
        <v>7</v>
      </c>
      <c r="O53" s="14" t="str">
        <f t="shared" si="7"/>
        <v>last</v>
      </c>
      <c r="P53" s="14"/>
      <c r="Q53" s="14"/>
      <c r="R53" s="14"/>
      <c r="S53" s="14"/>
      <c r="T53" s="14"/>
      <c r="U53" s="14"/>
      <c r="V53" s="14"/>
      <c r="W53" s="39">
        <f>IF(AND(L53="WIN",L54&lt;&gt;"WIN"),SUMIF(L$24:L53,"WIN",K$24:K53)-SUM(W$23:W52),"")</f>
        <v>961.02271480021955</v>
      </c>
      <c r="X53" s="41" t="str">
        <f>IF(AND(L53="LOSS",L54&lt;&gt;"LOSS"),SUMIF(L$24:L53,"LOSS",K$24:K53)-SUM(X$23:X52),"")</f>
        <v/>
      </c>
      <c r="Y53" s="8"/>
      <c r="Z53" s="85"/>
      <c r="AA53" s="188"/>
      <c r="AB53" s="188"/>
      <c r="AC53" s="188"/>
      <c r="AD53" s="188"/>
      <c r="AE53" s="188"/>
      <c r="AF53" s="188"/>
      <c r="AG53" s="188"/>
      <c r="AH53" s="188"/>
      <c r="AI53" s="188"/>
      <c r="AJ53" s="188"/>
      <c r="AK53" s="188"/>
      <c r="AL53" s="85"/>
      <c r="AM53" s="85"/>
      <c r="AN53" s="85"/>
      <c r="AO53" s="85"/>
      <c r="AP53" s="85"/>
      <c r="AQ53" s="85"/>
      <c r="AR53" s="85"/>
      <c r="AS53" s="85"/>
      <c r="AT53" s="85"/>
      <c r="AU53" s="85"/>
      <c r="AV53" s="85"/>
      <c r="AW53" s="85"/>
      <c r="AX53" s="85"/>
      <c r="AY53" s="85"/>
      <c r="AZ53" s="85"/>
      <c r="BA53" s="85"/>
    </row>
    <row r="54" spans="1:53" ht="15.75">
      <c r="A54" s="149"/>
      <c r="B54" s="305" t="s">
        <v>98</v>
      </c>
      <c r="C54" s="306"/>
      <c r="D54" s="271">
        <v>72</v>
      </c>
      <c r="E54" s="272"/>
      <c r="F54" s="278">
        <f t="shared" si="9"/>
        <v>11996.452309493236</v>
      </c>
      <c r="G54" s="279"/>
      <c r="H54" s="275">
        <f t="shared" si="4"/>
        <v>119.96452309493236</v>
      </c>
      <c r="I54" s="276"/>
      <c r="J54" s="277"/>
      <c r="K54" s="75">
        <f t="shared" si="10"/>
        <v>-119.96452309493236</v>
      </c>
      <c r="L54" s="81" t="str">
        <f t="shared" si="5"/>
        <v>LOSS</v>
      </c>
      <c r="M54" s="242">
        <f>IF(COUNTA($F$6:$F$10)=5,(F55-F24)/F24,"")</f>
        <v>0.18764877863983037</v>
      </c>
      <c r="N54" s="238">
        <f t="shared" si="6"/>
        <v>1</v>
      </c>
      <c r="O54" s="14" t="str">
        <f t="shared" si="7"/>
        <v>last</v>
      </c>
      <c r="P54" s="14"/>
      <c r="Q54" s="14"/>
      <c r="R54" s="14"/>
      <c r="S54" s="14"/>
      <c r="T54" s="14"/>
      <c r="U54" s="14"/>
      <c r="V54" s="14"/>
      <c r="W54" s="39" t="str">
        <f>IF(AND(L54="WIN",L55&lt;&gt;"WIN"),SUMIF(L$24:L54,"WIN",K$24:K54)-SUM(W$23:W53),"")</f>
        <v/>
      </c>
      <c r="X54" s="41">
        <f>IF(AND(L54="LOSS",L55&lt;&gt;"LOSS"),SUMIF(L$24:L54,"LOSS",K$24:K54)-SUM(X$23:X53),"")</f>
        <v>-119.96452309493236</v>
      </c>
      <c r="Y54" s="8"/>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row>
    <row r="55" spans="1:53" ht="15.75">
      <c r="A55" s="149"/>
      <c r="B55" s="305" t="s">
        <v>99</v>
      </c>
      <c r="C55" s="306"/>
      <c r="D55" s="271">
        <v>25</v>
      </c>
      <c r="E55" s="272"/>
      <c r="F55" s="278">
        <f t="shared" si="9"/>
        <v>11876.487786398304</v>
      </c>
      <c r="G55" s="279"/>
      <c r="H55" s="275">
        <f t="shared" si="4"/>
        <v>118.76487786398305</v>
      </c>
      <c r="I55" s="276"/>
      <c r="J55" s="277"/>
      <c r="K55" s="75">
        <f t="shared" si="10"/>
        <v>142.51785343677966</v>
      </c>
      <c r="L55" s="81" t="str">
        <f t="shared" si="5"/>
        <v>WIN</v>
      </c>
      <c r="M55" s="242">
        <f>IF(COUNTA($F$6:$F$10)=5,(F56-F24)/F24,"")</f>
        <v>0.20190056398350845</v>
      </c>
      <c r="N55" s="238">
        <f t="shared" si="6"/>
        <v>1</v>
      </c>
      <c r="O55" s="14" t="str">
        <f t="shared" si="7"/>
        <v>new</v>
      </c>
      <c r="P55" s="14"/>
      <c r="Q55" s="14"/>
      <c r="R55" s="14"/>
      <c r="S55" s="14"/>
      <c r="T55" s="14"/>
      <c r="U55" s="14"/>
      <c r="V55" s="14"/>
      <c r="W55" s="39" t="str">
        <f>IF(AND(L55="WIN",L56&lt;&gt;"WIN"),SUMIF(L$24:L55,"WIN",K$24:K55)-SUM(W$23:W54),"")</f>
        <v/>
      </c>
      <c r="X55" s="41" t="str">
        <f>IF(AND(L55="LOSS",L56&lt;&gt;"LOSS"),SUMIF(L$24:L55,"LOSS",K$24:K55)-SUM(X$23:X54),"")</f>
        <v/>
      </c>
      <c r="Y55" s="8"/>
      <c r="Z55" s="85"/>
      <c r="AA55" s="85"/>
      <c r="AB55" s="85"/>
      <c r="AC55" s="85"/>
      <c r="AD55" s="85"/>
      <c r="AE55" s="85"/>
      <c r="AF55" s="85"/>
      <c r="AG55" s="85"/>
      <c r="AH55" s="85"/>
      <c r="AI55" s="85"/>
      <c r="AJ55" s="85"/>
      <c r="AK55" s="85"/>
      <c r="AL55" s="85"/>
      <c r="AM55" s="85"/>
      <c r="AN55" s="85"/>
      <c r="AO55" s="85"/>
      <c r="AP55" s="85"/>
      <c r="AQ55" s="85"/>
      <c r="AR55" s="85"/>
      <c r="AS55" s="85"/>
      <c r="AT55" s="85"/>
      <c r="AU55" s="85"/>
      <c r="AV55" s="85"/>
      <c r="AW55" s="85"/>
      <c r="AX55" s="85"/>
      <c r="AY55" s="85"/>
      <c r="AZ55" s="85"/>
      <c r="BA55" s="85"/>
    </row>
    <row r="56" spans="1:53" ht="15.75">
      <c r="A56" s="149"/>
      <c r="B56" s="305" t="s">
        <v>100</v>
      </c>
      <c r="C56" s="306"/>
      <c r="D56" s="271">
        <v>11</v>
      </c>
      <c r="E56" s="272"/>
      <c r="F56" s="278">
        <f t="shared" si="9"/>
        <v>12019.005639835084</v>
      </c>
      <c r="G56" s="279"/>
      <c r="H56" s="275">
        <f t="shared" si="4"/>
        <v>120.19005639835085</v>
      </c>
      <c r="I56" s="276"/>
      <c r="J56" s="277"/>
      <c r="K56" s="75">
        <f t="shared" si="10"/>
        <v>144.22806767802101</v>
      </c>
      <c r="L56" s="81" t="str">
        <f t="shared" si="5"/>
        <v>WIN</v>
      </c>
      <c r="M56" s="242">
        <f>IF(COUNTA($F$6:$F$10)=5,(F57-F24)/F24,"")</f>
        <v>0.21632337075131053</v>
      </c>
      <c r="N56" s="238">
        <f t="shared" si="6"/>
        <v>2</v>
      </c>
      <c r="O56" s="14" t="str">
        <f t="shared" si="7"/>
        <v>last</v>
      </c>
      <c r="P56" s="14"/>
      <c r="Q56" s="14"/>
      <c r="R56" s="14"/>
      <c r="S56" s="14"/>
      <c r="T56" s="14"/>
      <c r="U56" s="14"/>
      <c r="V56" s="14"/>
      <c r="W56" s="39">
        <f>IF(AND(L56="WIN",L57&lt;&gt;"WIN"),SUMIF(L$24:L56,"WIN",K$24:K56)-SUM(W$23:W55),"")</f>
        <v>286.74592111480069</v>
      </c>
      <c r="X56" s="41" t="str">
        <f>IF(AND(L56="LOSS",L57&lt;&gt;"LOSS"),SUMIF(L$24:L56,"LOSS",K$24:K56)-SUM(X$23:X55),"")</f>
        <v/>
      </c>
      <c r="Y56" s="8"/>
      <c r="Z56" s="85"/>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row>
    <row r="57" spans="1:53" ht="15.75">
      <c r="A57" s="149"/>
      <c r="B57" s="305" t="s">
        <v>101</v>
      </c>
      <c r="C57" s="306"/>
      <c r="D57" s="271">
        <v>58</v>
      </c>
      <c r="E57" s="272"/>
      <c r="F57" s="278">
        <f t="shared" si="9"/>
        <v>12163.233707513105</v>
      </c>
      <c r="G57" s="279"/>
      <c r="H57" s="275">
        <f t="shared" si="4"/>
        <v>121.63233707513106</v>
      </c>
      <c r="I57" s="276"/>
      <c r="J57" s="277"/>
      <c r="K57" s="75">
        <f t="shared" si="10"/>
        <v>-121.63233707513106</v>
      </c>
      <c r="L57" s="81" t="str">
        <f t="shared" si="5"/>
        <v>LOSS</v>
      </c>
      <c r="M57" s="242">
        <f>IF(COUNTA($F$6:$F$10)=5,(F58-F24)/F24,"")</f>
        <v>0.20416013704379748</v>
      </c>
      <c r="N57" s="238">
        <f t="shared" si="6"/>
        <v>1</v>
      </c>
      <c r="O57" s="14" t="str">
        <f t="shared" si="7"/>
        <v>new</v>
      </c>
      <c r="P57" s="14"/>
      <c r="Q57" s="14"/>
      <c r="R57" s="14"/>
      <c r="S57" s="14"/>
      <c r="T57" s="14"/>
      <c r="U57" s="14"/>
      <c r="V57" s="14"/>
      <c r="W57" s="39" t="str">
        <f>IF(AND(L57="WIN",L58&lt;&gt;"WIN"),SUMIF(L$24:L57,"WIN",K$24:K57)-SUM(W$23:W56),"")</f>
        <v/>
      </c>
      <c r="X57" s="41" t="str">
        <f>IF(AND(L57="LOSS",L58&lt;&gt;"LOSS"),SUMIF(L$24:L57,"LOSS",K$24:K57)-SUM(X$23:X56),"")</f>
        <v/>
      </c>
      <c r="Y57" s="8"/>
      <c r="Z57" s="85"/>
      <c r="AA57" s="85"/>
      <c r="AB57" s="85"/>
      <c r="AC57" s="85"/>
      <c r="AD57" s="85"/>
      <c r="AE57" s="85"/>
      <c r="AF57" s="85"/>
      <c r="AG57" s="85"/>
      <c r="AH57" s="85"/>
      <c r="AI57" s="85"/>
      <c r="AJ57" s="85"/>
      <c r="AK57" s="85"/>
      <c r="AL57" s="85"/>
      <c r="AM57" s="85"/>
      <c r="AN57" s="85"/>
      <c r="AO57" s="85"/>
      <c r="AP57" s="85"/>
      <c r="AQ57" s="85"/>
      <c r="AR57" s="85"/>
      <c r="AS57" s="85"/>
      <c r="AT57" s="85"/>
      <c r="AU57" s="85"/>
      <c r="AV57" s="85"/>
      <c r="AW57" s="85"/>
      <c r="AX57" s="85"/>
      <c r="AY57" s="85"/>
      <c r="AZ57" s="85"/>
      <c r="BA57" s="85"/>
    </row>
    <row r="58" spans="1:53" ht="15.75">
      <c r="A58" s="149"/>
      <c r="B58" s="305" t="s">
        <v>102</v>
      </c>
      <c r="C58" s="306"/>
      <c r="D58" s="271">
        <v>91</v>
      </c>
      <c r="E58" s="272"/>
      <c r="F58" s="278">
        <f t="shared" si="9"/>
        <v>12041.601370437975</v>
      </c>
      <c r="G58" s="279"/>
      <c r="H58" s="275">
        <f t="shared" si="4"/>
        <v>120.41601370437975</v>
      </c>
      <c r="I58" s="276"/>
      <c r="J58" s="277"/>
      <c r="K58" s="75">
        <f t="shared" si="10"/>
        <v>-120.41601370437975</v>
      </c>
      <c r="L58" s="81" t="str">
        <f t="shared" si="5"/>
        <v>LOSS</v>
      </c>
      <c r="M58" s="242">
        <f>IF(COUNTA($F$6:$F$10)=5,(F59-F24)/F24,"")</f>
        <v>0.19211853567335949</v>
      </c>
      <c r="N58" s="238">
        <f t="shared" si="6"/>
        <v>2</v>
      </c>
      <c r="O58" s="14" t="str">
        <f t="shared" si="7"/>
        <v>last</v>
      </c>
      <c r="P58" s="14"/>
      <c r="Q58" s="14"/>
      <c r="R58" s="14"/>
      <c r="S58" s="14"/>
      <c r="T58" s="14"/>
      <c r="U58" s="14"/>
      <c r="V58" s="14"/>
      <c r="W58" s="39" t="str">
        <f>IF(AND(L58="WIN",L59&lt;&gt;"WIN"),SUMIF(L$24:L58,"WIN",K$24:K58)-SUM(W$23:W57),"")</f>
        <v/>
      </c>
      <c r="X58" s="41">
        <f>IF(AND(L58="LOSS",L59&lt;&gt;"LOSS"),SUMIF(L$24:L58,"LOSS",K$24:K58)-SUM(X$23:X57),"")</f>
        <v>-242.04835077951077</v>
      </c>
      <c r="Y58" s="8"/>
      <c r="Z58" s="85"/>
      <c r="AA58" s="85"/>
      <c r="AB58" s="85"/>
      <c r="AC58" s="85"/>
      <c r="AD58" s="85"/>
      <c r="AE58" s="85"/>
      <c r="AF58" s="85"/>
      <c r="AG58" s="85"/>
      <c r="AH58" s="85"/>
      <c r="AI58" s="85"/>
      <c r="AJ58" s="85"/>
      <c r="AK58" s="85"/>
      <c r="AL58" s="85"/>
      <c r="AM58" s="85"/>
      <c r="AN58" s="85"/>
      <c r="AO58" s="85"/>
      <c r="AP58" s="85"/>
      <c r="AQ58" s="85"/>
      <c r="AR58" s="85"/>
      <c r="AS58" s="85"/>
      <c r="AT58" s="85"/>
      <c r="AU58" s="85"/>
      <c r="AV58" s="85"/>
      <c r="AW58" s="85"/>
      <c r="AX58" s="85"/>
      <c r="AY58" s="85"/>
      <c r="AZ58" s="85"/>
      <c r="BA58" s="85"/>
    </row>
    <row r="59" spans="1:53" ht="15.75">
      <c r="A59" s="149"/>
      <c r="B59" s="305" t="s">
        <v>103</v>
      </c>
      <c r="C59" s="306"/>
      <c r="D59" s="271">
        <v>7</v>
      </c>
      <c r="E59" s="272"/>
      <c r="F59" s="278">
        <f t="shared" si="9"/>
        <v>11921.185356733595</v>
      </c>
      <c r="G59" s="279"/>
      <c r="H59" s="275">
        <f t="shared" si="4"/>
        <v>119.21185356733595</v>
      </c>
      <c r="I59" s="276"/>
      <c r="J59" s="277"/>
      <c r="K59" s="75">
        <f t="shared" si="10"/>
        <v>143.05422428080314</v>
      </c>
      <c r="L59" s="81" t="str">
        <f t="shared" si="5"/>
        <v>WIN</v>
      </c>
      <c r="M59" s="242">
        <f>IF(COUNTA($F$6:$F$10)=5,(F60-F24)/F24,"")</f>
        <v>0.20642395810143971</v>
      </c>
      <c r="N59" s="238">
        <f t="shared" si="6"/>
        <v>1</v>
      </c>
      <c r="O59" s="14" t="str">
        <f t="shared" si="7"/>
        <v>last</v>
      </c>
      <c r="P59" s="14"/>
      <c r="Q59" s="14"/>
      <c r="R59" s="14"/>
      <c r="S59" s="14"/>
      <c r="T59" s="14"/>
      <c r="U59" s="14"/>
      <c r="V59" s="14"/>
      <c r="W59" s="39">
        <f>IF(AND(L59="WIN",L60&lt;&gt;"WIN"),SUMIF(L$24:L59,"WIN",K$24:K59)-SUM(W$23:W58),"")</f>
        <v>143.05422428080328</v>
      </c>
      <c r="X59" s="41" t="str">
        <f>IF(AND(L59="LOSS",L60&lt;&gt;"LOSS"),SUMIF(L$24:L59,"LOSS",K$24:K59)-SUM(X$23:X58),"")</f>
        <v/>
      </c>
      <c r="Y59" s="8"/>
      <c r="Z59" s="85"/>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row>
    <row r="60" spans="1:53" ht="15" customHeight="1">
      <c r="A60" s="149"/>
      <c r="B60" s="305" t="s">
        <v>104</v>
      </c>
      <c r="C60" s="306"/>
      <c r="D60" s="271">
        <v>95</v>
      </c>
      <c r="E60" s="272"/>
      <c r="F60" s="278">
        <f t="shared" si="9"/>
        <v>12064.239581014397</v>
      </c>
      <c r="G60" s="279"/>
      <c r="H60" s="275">
        <f t="shared" si="4"/>
        <v>120.64239581014397</v>
      </c>
      <c r="I60" s="276"/>
      <c r="J60" s="277"/>
      <c r="K60" s="75">
        <f t="shared" si="10"/>
        <v>-120.64239581014397</v>
      </c>
      <c r="L60" s="81" t="str">
        <f t="shared" si="5"/>
        <v>LOSS</v>
      </c>
      <c r="M60" s="242">
        <f>IF(COUNTA($F$6:$F$10)=5,(F61-F24)/F24,"")</f>
        <v>0.1943597185204253</v>
      </c>
      <c r="N60" s="238">
        <f t="shared" si="6"/>
        <v>1</v>
      </c>
      <c r="O60" s="14" t="str">
        <f t="shared" si="7"/>
        <v>last</v>
      </c>
      <c r="P60" s="14"/>
      <c r="Q60" s="14"/>
      <c r="R60" s="14"/>
      <c r="S60" s="14"/>
      <c r="T60" s="14"/>
      <c r="U60" s="14"/>
      <c r="V60" s="14"/>
      <c r="W60" s="39" t="str">
        <f>IF(AND(L60="WIN",L61&lt;&gt;"WIN"),SUMIF(L$24:L60,"WIN",K$24:K60)-SUM(W$23:W59),"")</f>
        <v/>
      </c>
      <c r="X60" s="41">
        <f>IF(AND(L60="LOSS",L61&lt;&gt;"LOSS"),SUMIF(L$24:L60,"LOSS",K$24:K60)-SUM(X$23:X59),"")</f>
        <v>-120.64239581014385</v>
      </c>
      <c r="Y60" s="8"/>
      <c r="Z60" s="188"/>
      <c r="AA60" s="188"/>
      <c r="AB60" s="188"/>
      <c r="AC60" s="188"/>
      <c r="AD60" s="188"/>
      <c r="AE60" s="188"/>
      <c r="AF60" s="188"/>
      <c r="AG60" s="188"/>
      <c r="AH60" s="188"/>
      <c r="AI60" s="188"/>
      <c r="AJ60" s="188"/>
      <c r="AK60" s="188"/>
      <c r="AL60" s="188"/>
      <c r="AM60" s="188"/>
      <c r="AN60" s="85"/>
      <c r="AO60" s="85"/>
      <c r="AP60" s="85"/>
      <c r="AQ60" s="85"/>
      <c r="AR60" s="85"/>
      <c r="AS60" s="85"/>
      <c r="AT60" s="85"/>
      <c r="AU60" s="85"/>
      <c r="AV60" s="85"/>
      <c r="AW60" s="85"/>
      <c r="AX60" s="85"/>
      <c r="AY60" s="85"/>
      <c r="AZ60" s="85"/>
      <c r="BA60" s="85"/>
    </row>
    <row r="61" spans="1:53" ht="15.75">
      <c r="A61" s="149"/>
      <c r="B61" s="305" t="s">
        <v>105</v>
      </c>
      <c r="C61" s="306"/>
      <c r="D61" s="271">
        <v>5</v>
      </c>
      <c r="E61" s="272"/>
      <c r="F61" s="278">
        <f t="shared" si="9"/>
        <v>11943.597185204253</v>
      </c>
      <c r="G61" s="279"/>
      <c r="H61" s="275">
        <f t="shared" si="4"/>
        <v>119.43597185204253</v>
      </c>
      <c r="I61" s="276"/>
      <c r="J61" s="277"/>
      <c r="K61" s="75">
        <f t="shared" si="10"/>
        <v>143.32316622245102</v>
      </c>
      <c r="L61" s="81" t="str">
        <f t="shared" si="5"/>
        <v>WIN</v>
      </c>
      <c r="M61" s="242">
        <f>IF(COUNTA($F$6:$F$10)=5,(F62-F24)/F24,"")</f>
        <v>0.20869203514267046</v>
      </c>
      <c r="N61" s="238">
        <f t="shared" si="6"/>
        <v>1</v>
      </c>
      <c r="O61" s="14" t="str">
        <f t="shared" si="7"/>
        <v>last</v>
      </c>
      <c r="P61" s="14"/>
      <c r="Q61" s="14"/>
      <c r="R61" s="14"/>
      <c r="S61" s="14"/>
      <c r="T61" s="14"/>
      <c r="U61" s="14"/>
      <c r="V61" s="14"/>
      <c r="W61" s="39">
        <f>IF(AND(L61="WIN",L62&lt;&gt;"WIN"),SUMIF(L$24:L61,"WIN",K$24:K61)-SUM(W$23:W60),"")</f>
        <v>143.32316622245116</v>
      </c>
      <c r="X61" s="41" t="str">
        <f>IF(AND(L61="LOSS",L62&lt;&gt;"LOSS"),SUMIF(L$24:L61,"LOSS",K$24:K61)-SUM(X$23:X60),"")</f>
        <v/>
      </c>
      <c r="Y61" s="8"/>
      <c r="Z61" s="85"/>
      <c r="AA61" s="85"/>
      <c r="AB61" s="85"/>
      <c r="AC61" s="85"/>
      <c r="AD61" s="85"/>
      <c r="AE61" s="85"/>
      <c r="AF61" s="85"/>
      <c r="AG61" s="85"/>
      <c r="AH61" s="85"/>
      <c r="AI61" s="85"/>
      <c r="AJ61" s="85"/>
      <c r="AK61" s="85"/>
      <c r="AL61" s="85"/>
      <c r="AM61" s="85"/>
      <c r="AN61" s="85"/>
      <c r="AO61" s="85"/>
      <c r="AP61" s="85"/>
      <c r="AQ61" s="85"/>
      <c r="AR61" s="85"/>
      <c r="AS61" s="85"/>
      <c r="AT61" s="85"/>
      <c r="AU61" s="85"/>
      <c r="AV61" s="85"/>
      <c r="AW61" s="85"/>
      <c r="AX61" s="85"/>
      <c r="AY61" s="85"/>
      <c r="AZ61" s="85"/>
      <c r="BA61" s="85"/>
    </row>
    <row r="62" spans="1:53" ht="15.75">
      <c r="A62" s="149"/>
      <c r="B62" s="305" t="s">
        <v>106</v>
      </c>
      <c r="C62" s="306"/>
      <c r="D62" s="271">
        <v>73</v>
      </c>
      <c r="E62" s="272"/>
      <c r="F62" s="278">
        <f t="shared" si="9"/>
        <v>12086.920351426705</v>
      </c>
      <c r="G62" s="279"/>
      <c r="H62" s="275">
        <f t="shared" si="4"/>
        <v>120.86920351426704</v>
      </c>
      <c r="I62" s="276"/>
      <c r="J62" s="277"/>
      <c r="K62" s="75">
        <f t="shared" si="10"/>
        <v>-120.86920351426704</v>
      </c>
      <c r="L62" s="81" t="str">
        <f t="shared" si="5"/>
        <v>LOSS</v>
      </c>
      <c r="M62" s="242">
        <f>IF(COUNTA($F$6:$F$10)=5,(F63-F24)/F24,"")</f>
        <v>0.19660511479124379</v>
      </c>
      <c r="N62" s="238">
        <f t="shared" si="6"/>
        <v>1</v>
      </c>
      <c r="O62" s="14" t="str">
        <f t="shared" si="7"/>
        <v>last</v>
      </c>
      <c r="P62" s="14"/>
      <c r="Q62" s="14"/>
      <c r="R62" s="14"/>
      <c r="S62" s="14"/>
      <c r="T62" s="14"/>
      <c r="U62" s="14"/>
      <c r="V62" s="14"/>
      <c r="W62" s="39" t="str">
        <f>IF(AND(L62="WIN",L63&lt;&gt;"WIN"),SUMIF(L$24:L62,"WIN",K$24:K62)-SUM(W$23:W61),"")</f>
        <v/>
      </c>
      <c r="X62" s="41">
        <f>IF(AND(L62="LOSS",L63&lt;&gt;"LOSS"),SUMIF(L$24:L62,"LOSS",K$24:K62)-SUM(X$23:X61),"")</f>
        <v>-120.86920351426716</v>
      </c>
      <c r="Y62" s="8"/>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row>
    <row r="63" spans="1:53" ht="15.75">
      <c r="A63" s="149"/>
      <c r="B63" s="305" t="s">
        <v>107</v>
      </c>
      <c r="C63" s="306"/>
      <c r="D63" s="271">
        <v>1</v>
      </c>
      <c r="E63" s="272"/>
      <c r="F63" s="278">
        <f t="shared" si="9"/>
        <v>11966.051147912438</v>
      </c>
      <c r="G63" s="279"/>
      <c r="H63" s="275">
        <f t="shared" si="4"/>
        <v>119.66051147912438</v>
      </c>
      <c r="I63" s="276"/>
      <c r="J63" s="277"/>
      <c r="K63" s="75">
        <f t="shared" si="10"/>
        <v>143.59261377494926</v>
      </c>
      <c r="L63" s="81" t="str">
        <f t="shared" si="5"/>
        <v>WIN</v>
      </c>
      <c r="M63" s="242">
        <f>IF(COUNTA($F$6:$F$10)=5,(F64-F24)/F24,"")</f>
        <v>0.21096437616873881</v>
      </c>
      <c r="N63" s="238">
        <f t="shared" si="6"/>
        <v>1</v>
      </c>
      <c r="O63" s="14" t="str">
        <f t="shared" si="7"/>
        <v>new</v>
      </c>
      <c r="P63" s="14"/>
      <c r="Q63" s="14"/>
      <c r="R63" s="14"/>
      <c r="S63" s="14"/>
      <c r="T63" s="14"/>
      <c r="U63" s="14"/>
      <c r="V63" s="14"/>
      <c r="W63" s="39" t="str">
        <f>IF(AND(L63="WIN",L64&lt;&gt;"WIN"),SUMIF(L$24:L63,"WIN",K$24:K63)-SUM(W$23:W62),"")</f>
        <v/>
      </c>
      <c r="X63" s="41" t="str">
        <f>IF(AND(L63="LOSS",L64&lt;&gt;"LOSS"),SUMIF(L$24:L63,"LOSS",K$24:K63)-SUM(X$23:X62),"")</f>
        <v/>
      </c>
      <c r="Y63" s="8"/>
      <c r="Z63" s="85"/>
      <c r="AA63" s="85"/>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85"/>
    </row>
    <row r="64" spans="1:53" ht="15.75">
      <c r="A64" s="149"/>
      <c r="B64" s="305" t="s">
        <v>108</v>
      </c>
      <c r="C64" s="306"/>
      <c r="D64" s="271">
        <v>50</v>
      </c>
      <c r="E64" s="272"/>
      <c r="F64" s="278">
        <f t="shared" si="9"/>
        <v>12109.643761687388</v>
      </c>
      <c r="G64" s="279"/>
      <c r="H64" s="275">
        <f t="shared" si="4"/>
        <v>121.09643761687389</v>
      </c>
      <c r="I64" s="276"/>
      <c r="J64" s="277"/>
      <c r="K64" s="75">
        <f t="shared" si="10"/>
        <v>145.31572514024865</v>
      </c>
      <c r="L64" s="81" t="str">
        <f t="shared" si="5"/>
        <v>WIN</v>
      </c>
      <c r="M64" s="242">
        <f>IF(COUNTA($F$6:$F$10)=5,(F65-F24)/F24,"")</f>
        <v>0.22549594868276363</v>
      </c>
      <c r="N64" s="238">
        <f t="shared" si="6"/>
        <v>2</v>
      </c>
      <c r="O64" s="14" t="str">
        <f t="shared" si="7"/>
        <v>last</v>
      </c>
      <c r="P64" s="14"/>
      <c r="Q64" s="14"/>
      <c r="R64" s="14"/>
      <c r="S64" s="14"/>
      <c r="T64" s="14"/>
      <c r="U64" s="14"/>
      <c r="V64" s="14"/>
      <c r="W64" s="39">
        <f>IF(AND(L64="WIN",L65&lt;&gt;"WIN"),SUMIF(L$24:L64,"WIN",K$24:K64)-SUM(W$23:W63),"")</f>
        <v>288.90833891519787</v>
      </c>
      <c r="X64" s="41" t="str">
        <f>IF(AND(L64="LOSS",L65&lt;&gt;"LOSS"),SUMIF(L$24:L64,"LOSS",K$24:K64)-SUM(X$23:X63),"")</f>
        <v/>
      </c>
      <c r="Y64" s="8"/>
      <c r="Z64" s="85"/>
      <c r="AA64" s="85"/>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row>
    <row r="65" spans="1:53" ht="15.75">
      <c r="A65" s="149"/>
      <c r="B65" s="305" t="s">
        <v>109</v>
      </c>
      <c r="C65" s="306"/>
      <c r="D65" s="271">
        <v>87</v>
      </c>
      <c r="E65" s="272"/>
      <c r="F65" s="278">
        <f t="shared" si="9"/>
        <v>12254.959486827636</v>
      </c>
      <c r="G65" s="279"/>
      <c r="H65" s="275">
        <f t="shared" si="4"/>
        <v>122.54959486827636</v>
      </c>
      <c r="I65" s="276"/>
      <c r="J65" s="277"/>
      <c r="K65" s="75">
        <f t="shared" si="10"/>
        <v>-122.54959486827636</v>
      </c>
      <c r="L65" s="81" t="str">
        <f t="shared" si="5"/>
        <v>LOSS</v>
      </c>
      <c r="M65" s="242">
        <f>IF(COUNTA($F$6:$F$10)=5,(F66-F24)/F24,"")</f>
        <v>0.21324098919593598</v>
      </c>
      <c r="N65" s="238">
        <f t="shared" si="6"/>
        <v>1</v>
      </c>
      <c r="O65" s="14" t="str">
        <f t="shared" si="7"/>
        <v>last</v>
      </c>
      <c r="P65" s="14"/>
      <c r="Q65" s="14"/>
      <c r="R65" s="14"/>
      <c r="S65" s="14"/>
      <c r="T65" s="14"/>
      <c r="U65" s="14"/>
      <c r="V65" s="14"/>
      <c r="W65" s="39" t="str">
        <f>IF(AND(L65="WIN",L66&lt;&gt;"WIN"),SUMIF(L$24:L65,"WIN",K$24:K65)-SUM(W$23:W64),"")</f>
        <v/>
      </c>
      <c r="X65" s="41">
        <f>IF(AND(L65="LOSS",L66&lt;&gt;"LOSS"),SUMIF(L$24:L65,"LOSS",K$24:K65)-SUM(X$23:X64),"")</f>
        <v>-122.54959486827647</v>
      </c>
      <c r="Y65" s="8"/>
      <c r="Z65" s="85"/>
      <c r="AA65" s="85"/>
      <c r="AB65" s="85"/>
      <c r="AC65" s="85"/>
      <c r="AD65" s="85"/>
      <c r="AE65" s="85"/>
      <c r="AF65" s="85"/>
      <c r="AG65" s="85"/>
      <c r="AH65" s="85"/>
      <c r="AI65" s="85"/>
      <c r="AJ65" s="85"/>
      <c r="AK65" s="85"/>
      <c r="AL65" s="85"/>
      <c r="AM65" s="85"/>
      <c r="AN65" s="85"/>
      <c r="AO65" s="85"/>
      <c r="AP65" s="85"/>
      <c r="AQ65" s="85"/>
      <c r="AR65" s="85"/>
      <c r="AS65" s="85"/>
      <c r="AT65" s="85"/>
      <c r="AU65" s="85"/>
      <c r="AV65" s="85"/>
      <c r="AW65" s="85"/>
      <c r="AX65" s="85"/>
      <c r="AY65" s="85"/>
      <c r="AZ65" s="85"/>
      <c r="BA65" s="85"/>
    </row>
    <row r="66" spans="1:53" ht="15.75">
      <c r="A66" s="149"/>
      <c r="B66" s="305" t="s">
        <v>110</v>
      </c>
      <c r="C66" s="306"/>
      <c r="D66" s="271">
        <v>37</v>
      </c>
      <c r="E66" s="272"/>
      <c r="F66" s="278">
        <f t="shared" si="9"/>
        <v>12132.40989195936</v>
      </c>
      <c r="G66" s="279"/>
      <c r="H66" s="275">
        <f t="shared" si="4"/>
        <v>121.3240989195936</v>
      </c>
      <c r="I66" s="276"/>
      <c r="J66" s="277"/>
      <c r="K66" s="75">
        <f t="shared" si="10"/>
        <v>145.58891870351232</v>
      </c>
      <c r="L66" s="81" t="str">
        <f t="shared" si="5"/>
        <v>WIN</v>
      </c>
      <c r="M66" s="242">
        <f>IF(COUNTA($F$6:$F$10)=5,(F67-F24)/F24,"")</f>
        <v>0.22779988106628715</v>
      </c>
      <c r="N66" s="238">
        <f t="shared" si="6"/>
        <v>1</v>
      </c>
      <c r="O66" s="14" t="str">
        <f t="shared" si="7"/>
        <v>last</v>
      </c>
      <c r="P66" s="14"/>
      <c r="Q66" s="14"/>
      <c r="R66" s="14"/>
      <c r="S66" s="14"/>
      <c r="T66" s="14"/>
      <c r="U66" s="14"/>
      <c r="V66" s="14"/>
      <c r="W66" s="39">
        <f>IF(AND(L66="WIN",L67&lt;&gt;"WIN"),SUMIF(L$24:L66,"WIN",K$24:K66)-SUM(W$23:W65),"")</f>
        <v>145.58891870351226</v>
      </c>
      <c r="X66" s="41" t="str">
        <f>IF(AND(L66="LOSS",L67&lt;&gt;"LOSS"),SUMIF(L$24:L66,"LOSS",K$24:K66)-SUM(X$23:X65),"")</f>
        <v/>
      </c>
      <c r="Y66" s="8"/>
      <c r="Z66" s="85"/>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row>
    <row r="67" spans="1:53" ht="15.75">
      <c r="A67" s="149"/>
      <c r="B67" s="305" t="s">
        <v>111</v>
      </c>
      <c r="C67" s="306"/>
      <c r="D67" s="271">
        <v>70</v>
      </c>
      <c r="E67" s="272"/>
      <c r="F67" s="278">
        <f t="shared" si="9"/>
        <v>12277.998810662872</v>
      </c>
      <c r="G67" s="279"/>
      <c r="H67" s="275">
        <f t="shared" si="4"/>
        <v>122.77998810662872</v>
      </c>
      <c r="I67" s="276"/>
      <c r="J67" s="277"/>
      <c r="K67" s="75">
        <f t="shared" si="10"/>
        <v>-122.77998810662872</v>
      </c>
      <c r="L67" s="81" t="str">
        <f t="shared" si="5"/>
        <v>LOSS</v>
      </c>
      <c r="M67" s="242">
        <f>IF(COUNTA($F$6:$F$10)=5,(F68-F24)/F24,"")</f>
        <v>0.21552188225562421</v>
      </c>
      <c r="N67" s="238">
        <f t="shared" si="6"/>
        <v>1</v>
      </c>
      <c r="O67" s="14" t="str">
        <f t="shared" si="7"/>
        <v>last</v>
      </c>
      <c r="P67" s="14"/>
      <c r="Q67" s="14"/>
      <c r="R67" s="14"/>
      <c r="S67" s="14"/>
      <c r="T67" s="14"/>
      <c r="U67" s="14"/>
      <c r="V67" s="14"/>
      <c r="W67" s="39" t="str">
        <f>IF(AND(L67="WIN",L68&lt;&gt;"WIN"),SUMIF(L$24:L67,"WIN",K$24:K67)-SUM(W$23:W66),"")</f>
        <v/>
      </c>
      <c r="X67" s="41">
        <f>IF(AND(L67="LOSS",L68&lt;&gt;"LOSS"),SUMIF(L$24:L67,"LOSS",K$24:K67)-SUM(X$23:X66),"")</f>
        <v>-122.77998810662871</v>
      </c>
      <c r="Y67" s="8"/>
      <c r="Z67" s="85"/>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row>
    <row r="68" spans="1:53" ht="15.75">
      <c r="A68" s="149"/>
      <c r="B68" s="305" t="s">
        <v>112</v>
      </c>
      <c r="C68" s="306"/>
      <c r="D68" s="271">
        <v>34</v>
      </c>
      <c r="E68" s="272"/>
      <c r="F68" s="278">
        <f t="shared" si="9"/>
        <v>12155.218822556242</v>
      </c>
      <c r="G68" s="279"/>
      <c r="H68" s="275">
        <f t="shared" si="4"/>
        <v>121.55218822556242</v>
      </c>
      <c r="I68" s="276"/>
      <c r="J68" s="277"/>
      <c r="K68" s="75">
        <f t="shared" si="10"/>
        <v>145.86262587067489</v>
      </c>
      <c r="L68" s="81" t="str">
        <f t="shared" si="5"/>
        <v>WIN</v>
      </c>
      <c r="M68" s="242">
        <f>IF(COUNTA($F$6:$F$10)=5,(F69-F24)/F24,"")</f>
        <v>0.23010814484269176</v>
      </c>
      <c r="N68" s="238">
        <f t="shared" si="6"/>
        <v>1</v>
      </c>
      <c r="O68" s="14" t="str">
        <f t="shared" si="7"/>
        <v>new</v>
      </c>
      <c r="P68" s="14"/>
      <c r="Q68" s="14"/>
      <c r="R68" s="14"/>
      <c r="S68" s="14"/>
      <c r="T68" s="14"/>
      <c r="U68" s="14"/>
      <c r="V68" s="14"/>
      <c r="W68" s="39" t="str">
        <f>IF(AND(L68="WIN",L69&lt;&gt;"WIN"),SUMIF(L$24:L68,"WIN",K$24:K68)-SUM(W$23:W67),"")</f>
        <v/>
      </c>
      <c r="X68" s="41" t="str">
        <f>IF(AND(L68="LOSS",L69&lt;&gt;"LOSS"),SUMIF(L$24:L68,"LOSS",K$24:K68)-SUM(X$23:X67),"")</f>
        <v/>
      </c>
      <c r="Y68" s="8"/>
      <c r="Z68" s="85"/>
      <c r="AA68" s="85"/>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row>
    <row r="69" spans="1:53" ht="15.75">
      <c r="A69" s="149"/>
      <c r="B69" s="305" t="s">
        <v>113</v>
      </c>
      <c r="C69" s="306"/>
      <c r="D69" s="271">
        <v>27</v>
      </c>
      <c r="E69" s="272"/>
      <c r="F69" s="278">
        <f t="shared" si="9"/>
        <v>12301.081448426918</v>
      </c>
      <c r="G69" s="279"/>
      <c r="H69" s="275">
        <f t="shared" si="4"/>
        <v>123.01081448426918</v>
      </c>
      <c r="I69" s="276"/>
      <c r="J69" s="277"/>
      <c r="K69" s="75">
        <f t="shared" si="10"/>
        <v>147.61297738112302</v>
      </c>
      <c r="L69" s="81" t="str">
        <f t="shared" si="5"/>
        <v>WIN</v>
      </c>
      <c r="M69" s="242">
        <f>IF(COUNTA($F$6:$F$10)=5,(F70-F24)/F24,"")</f>
        <v>0.24486944258080404</v>
      </c>
      <c r="N69" s="238">
        <f t="shared" si="6"/>
        <v>2</v>
      </c>
      <c r="O69" s="14" t="str">
        <f t="shared" si="7"/>
        <v>last</v>
      </c>
      <c r="P69" s="14"/>
      <c r="Q69" s="14"/>
      <c r="R69" s="14"/>
      <c r="S69" s="14"/>
      <c r="T69" s="14"/>
      <c r="U69" s="14"/>
      <c r="V69" s="14"/>
      <c r="W69" s="39">
        <f>IF(AND(L69="WIN",L70&lt;&gt;"WIN"),SUMIF(L$24:L69,"WIN",K$24:K69)-SUM(W$23:W68),"")</f>
        <v>293.47560325179802</v>
      </c>
      <c r="X69" s="41" t="str">
        <f>IF(AND(L69="LOSS",L70&lt;&gt;"LOSS"),SUMIF(L$24:L69,"LOSS",K$24:K69)-SUM(X$23:X68),"")</f>
        <v/>
      </c>
      <c r="Y69" s="8"/>
      <c r="Z69" s="85"/>
      <c r="AA69" s="85"/>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row>
    <row r="70" spans="1:53" ht="15.75">
      <c r="A70" s="149"/>
      <c r="B70" s="305" t="s">
        <v>114</v>
      </c>
      <c r="C70" s="306"/>
      <c r="D70" s="271">
        <v>73</v>
      </c>
      <c r="E70" s="272"/>
      <c r="F70" s="278">
        <f t="shared" si="9"/>
        <v>12448.69442580804</v>
      </c>
      <c r="G70" s="279"/>
      <c r="H70" s="275">
        <f t="shared" si="4"/>
        <v>124.4869442580804</v>
      </c>
      <c r="I70" s="276"/>
      <c r="J70" s="277"/>
      <c r="K70" s="75">
        <f t="shared" si="10"/>
        <v>-124.4869442580804</v>
      </c>
      <c r="L70" s="81" t="str">
        <f t="shared" si="5"/>
        <v>LOSS</v>
      </c>
      <c r="M70" s="242">
        <f>IF(COUNTA($F$6:$F$10)=5,(F71-F24)/F24,"")</f>
        <v>0.232420748154996</v>
      </c>
      <c r="N70" s="238">
        <f t="shared" si="6"/>
        <v>1</v>
      </c>
      <c r="O70" s="14" t="str">
        <f t="shared" si="7"/>
        <v>new</v>
      </c>
      <c r="P70" s="14"/>
      <c r="Q70" s="14"/>
      <c r="R70" s="14"/>
      <c r="S70" s="14"/>
      <c r="T70" s="14"/>
      <c r="U70" s="14"/>
      <c r="V70" s="14"/>
      <c r="W70" s="39" t="str">
        <f>IF(AND(L70="WIN",L71&lt;&gt;"WIN"),SUMIF(L$24:L70,"WIN",K$24:K70)-SUM(W$23:W69),"")</f>
        <v/>
      </c>
      <c r="X70" s="41" t="str">
        <f>IF(AND(L70="LOSS",L71&lt;&gt;"LOSS"),SUMIF(L$24:L70,"LOSS",K$24:K70)-SUM(X$23:X69),"")</f>
        <v/>
      </c>
      <c r="Y70" s="8"/>
      <c r="Z70" s="85"/>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row>
    <row r="71" spans="1:53" ht="15.75">
      <c r="A71" s="149"/>
      <c r="B71" s="305" t="s">
        <v>115</v>
      </c>
      <c r="C71" s="306"/>
      <c r="D71" s="271">
        <v>68</v>
      </c>
      <c r="E71" s="272"/>
      <c r="F71" s="278">
        <f t="shared" si="9"/>
        <v>12324.20748154996</v>
      </c>
      <c r="G71" s="279"/>
      <c r="H71" s="275">
        <f t="shared" si="4"/>
        <v>123.24207481549961</v>
      </c>
      <c r="I71" s="276"/>
      <c r="J71" s="277"/>
      <c r="K71" s="75">
        <f t="shared" si="10"/>
        <v>-123.24207481549961</v>
      </c>
      <c r="L71" s="81" t="str">
        <f t="shared" si="5"/>
        <v>LOSS</v>
      </c>
      <c r="M71" s="242">
        <f>IF(COUNTA($F$6:$F$10)=5,(F72-F24)/F24,"")</f>
        <v>0.220096540673446</v>
      </c>
      <c r="N71" s="238">
        <f t="shared" si="6"/>
        <v>2</v>
      </c>
      <c r="O71" s="14" t="str">
        <f t="shared" si="7"/>
        <v>last</v>
      </c>
      <c r="P71" s="14"/>
      <c r="Q71" s="14"/>
      <c r="R71" s="14"/>
      <c r="S71" s="14"/>
      <c r="T71" s="14"/>
      <c r="U71" s="14"/>
      <c r="V71" s="14"/>
      <c r="W71" s="39" t="str">
        <f>IF(AND(L71="WIN",L72&lt;&gt;"WIN"),SUMIF(L$24:L71,"WIN",K$24:K71)-SUM(W$23:W70),"")</f>
        <v/>
      </c>
      <c r="X71" s="41">
        <f>IF(AND(L71="LOSS",L72&lt;&gt;"LOSS"),SUMIF(L$24:L71,"LOSS",K$24:K71)-SUM(X$23:X70),"")</f>
        <v>-247.72901907358005</v>
      </c>
      <c r="Y71" s="8"/>
      <c r="Z71" s="85"/>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row>
    <row r="72" spans="1:53" ht="15.75">
      <c r="A72" s="149"/>
      <c r="B72" s="305" t="s">
        <v>116</v>
      </c>
      <c r="C72" s="306"/>
      <c r="D72" s="271">
        <v>40</v>
      </c>
      <c r="E72" s="272"/>
      <c r="F72" s="278">
        <f t="shared" si="9"/>
        <v>12200.96540673446</v>
      </c>
      <c r="G72" s="279"/>
      <c r="H72" s="275">
        <f t="shared" si="4"/>
        <v>122.0096540673446</v>
      </c>
      <c r="I72" s="276"/>
      <c r="J72" s="277"/>
      <c r="K72" s="75">
        <f t="shared" si="10"/>
        <v>146.41158488081351</v>
      </c>
      <c r="L72" s="81" t="str">
        <f t="shared" si="5"/>
        <v>WIN</v>
      </c>
      <c r="M72" s="242">
        <f>IF(COUNTA($F$6:$F$10)=5,(F73-F24)/F24,"")</f>
        <v>0.23473769916152742</v>
      </c>
      <c r="N72" s="238">
        <f t="shared" si="6"/>
        <v>1</v>
      </c>
      <c r="O72" s="14" t="str">
        <f t="shared" si="7"/>
        <v>last</v>
      </c>
      <c r="P72" s="14"/>
      <c r="Q72" s="14"/>
      <c r="R72" s="14"/>
      <c r="S72" s="14"/>
      <c r="T72" s="14"/>
      <c r="U72" s="14"/>
      <c r="V72" s="14"/>
      <c r="W72" s="39">
        <f>IF(AND(L72="WIN",L73&lt;&gt;"WIN"),SUMIF(L$24:L72,"WIN",K$24:K72)-SUM(W$23:W71),"")</f>
        <v>146.41158488081328</v>
      </c>
      <c r="X72" s="41" t="str">
        <f>IF(AND(L72="LOSS",L73&lt;&gt;"LOSS"),SUMIF(L$24:L72,"LOSS",K$24:K72)-SUM(X$23:X71),"")</f>
        <v/>
      </c>
      <c r="Y72" s="8"/>
      <c r="Z72" s="85"/>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row>
    <row r="73" spans="1:53" ht="15.75">
      <c r="A73" s="149"/>
      <c r="B73" s="305" t="s">
        <v>117</v>
      </c>
      <c r="C73" s="306"/>
      <c r="D73" s="271">
        <v>94</v>
      </c>
      <c r="E73" s="272"/>
      <c r="F73" s="278">
        <f t="shared" si="9"/>
        <v>12347.376991615274</v>
      </c>
      <c r="G73" s="279"/>
      <c r="H73" s="275">
        <f t="shared" si="4"/>
        <v>123.47376991615275</v>
      </c>
      <c r="I73" s="276"/>
      <c r="J73" s="277"/>
      <c r="K73" s="75">
        <f t="shared" si="10"/>
        <v>-123.47376991615275</v>
      </c>
      <c r="L73" s="81" t="str">
        <f t="shared" si="5"/>
        <v>LOSS</v>
      </c>
      <c r="M73" s="242">
        <f>IF(COUNTA($F$6:$F$10)=5,(F74-F24)/F24,"")</f>
        <v>0.22239032216991217</v>
      </c>
      <c r="N73" s="238">
        <f t="shared" si="6"/>
        <v>1</v>
      </c>
      <c r="O73" s="14" t="str">
        <f t="shared" si="7"/>
        <v>last</v>
      </c>
      <c r="P73" s="14"/>
      <c r="Q73" s="14"/>
      <c r="R73" s="14"/>
      <c r="S73" s="14"/>
      <c r="T73" s="14"/>
      <c r="U73" s="14"/>
      <c r="V73" s="14"/>
      <c r="W73" s="39" t="str">
        <f>IF(AND(L73="WIN",L74&lt;&gt;"WIN"),SUMIF(L$24:L73,"WIN",K$24:K73)-SUM(W$23:W72),"")</f>
        <v/>
      </c>
      <c r="X73" s="41">
        <f>IF(AND(L73="LOSS",L74&lt;&gt;"LOSS"),SUMIF(L$24:L73,"LOSS",K$24:K73)-SUM(X$23:X72),"")</f>
        <v>-123.47376991615283</v>
      </c>
      <c r="Y73" s="8"/>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row>
    <row r="74" spans="1:53" ht="15.75">
      <c r="A74" s="149"/>
      <c r="B74" s="305" t="s">
        <v>118</v>
      </c>
      <c r="C74" s="306"/>
      <c r="D74" s="271">
        <v>25</v>
      </c>
      <c r="E74" s="272"/>
      <c r="F74" s="278">
        <f t="shared" si="9"/>
        <v>12223.903221699122</v>
      </c>
      <c r="G74" s="279"/>
      <c r="H74" s="275">
        <f t="shared" si="4"/>
        <v>122.23903221699122</v>
      </c>
      <c r="I74" s="276"/>
      <c r="J74" s="277"/>
      <c r="K74" s="75">
        <f t="shared" si="10"/>
        <v>146.68683866038947</v>
      </c>
      <c r="L74" s="81" t="str">
        <f t="shared" si="5"/>
        <v>WIN</v>
      </c>
      <c r="M74" s="242">
        <f>IF(COUNTA($F$6:$F$10)=5,(F75-F24)/F24,"")</f>
        <v>0.23705900603595109</v>
      </c>
      <c r="N74" s="238">
        <f t="shared" si="6"/>
        <v>1</v>
      </c>
      <c r="O74" s="14" t="str">
        <f t="shared" si="7"/>
        <v>last</v>
      </c>
      <c r="P74" s="14"/>
      <c r="Q74" s="14"/>
      <c r="R74" s="14"/>
      <c r="S74" s="14"/>
      <c r="T74" s="14"/>
      <c r="U74" s="14"/>
      <c r="V74" s="14"/>
      <c r="W74" s="39">
        <f>IF(AND(L74="WIN",L75&lt;&gt;"WIN"),SUMIF(L$24:L74,"WIN",K$24:K74)-SUM(W$23:W73),"")</f>
        <v>146.68683866038918</v>
      </c>
      <c r="X74" s="41" t="str">
        <f>IF(AND(L74="LOSS",L75&lt;&gt;"LOSS"),SUMIF(L$24:L74,"LOSS",K$24:K74)-SUM(X$23:X73),"")</f>
        <v/>
      </c>
      <c r="Y74" s="8"/>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row>
    <row r="75" spans="1:53" ht="15.75">
      <c r="A75" s="149"/>
      <c r="B75" s="305" t="s">
        <v>119</v>
      </c>
      <c r="C75" s="306"/>
      <c r="D75" s="271">
        <v>79</v>
      </c>
      <c r="E75" s="272"/>
      <c r="F75" s="278">
        <f t="shared" si="9"/>
        <v>12370.590060359511</v>
      </c>
      <c r="G75" s="279"/>
      <c r="H75" s="275">
        <f t="shared" si="4"/>
        <v>123.70590060359511</v>
      </c>
      <c r="I75" s="276"/>
      <c r="J75" s="277"/>
      <c r="K75" s="75">
        <f t="shared" si="10"/>
        <v>-123.70590060359511</v>
      </c>
      <c r="L75" s="81" t="str">
        <f t="shared" si="5"/>
        <v>LOSS</v>
      </c>
      <c r="M75" s="242">
        <f>IF(COUNTA($F$6:$F$10)=5,(F76-F24)/F24,"")</f>
        <v>0.2246884159755915</v>
      </c>
      <c r="N75" s="238">
        <f t="shared" si="6"/>
        <v>1</v>
      </c>
      <c r="O75" s="14" t="str">
        <f t="shared" si="7"/>
        <v>new</v>
      </c>
      <c r="P75" s="14"/>
      <c r="Q75" s="14"/>
      <c r="R75" s="14"/>
      <c r="S75" s="14"/>
      <c r="T75" s="14"/>
      <c r="U75" s="14"/>
      <c r="V75" s="14"/>
      <c r="W75" s="39" t="str">
        <f>IF(AND(L75="WIN",L76&lt;&gt;"WIN"),SUMIF(L$24:L75,"WIN",K$24:K75)-SUM(W$23:W74),"")</f>
        <v/>
      </c>
      <c r="X75" s="41" t="str">
        <f>IF(AND(L75="LOSS",L76&lt;&gt;"LOSS"),SUMIF(L$24:L75,"LOSS",K$24:K75)-SUM(X$23:X74),"")</f>
        <v/>
      </c>
      <c r="Y75" s="8"/>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row>
    <row r="76" spans="1:53" ht="15.75">
      <c r="A76" s="149"/>
      <c r="B76" s="305" t="s">
        <v>120</v>
      </c>
      <c r="C76" s="306"/>
      <c r="D76" s="271">
        <v>98</v>
      </c>
      <c r="E76" s="272"/>
      <c r="F76" s="278">
        <f t="shared" si="9"/>
        <v>12246.884159755915</v>
      </c>
      <c r="G76" s="279"/>
      <c r="H76" s="275">
        <f t="shared" si="4"/>
        <v>122.46884159755915</v>
      </c>
      <c r="I76" s="276"/>
      <c r="J76" s="277"/>
      <c r="K76" s="75">
        <f t="shared" si="10"/>
        <v>-122.46884159755915</v>
      </c>
      <c r="L76" s="81" t="str">
        <f t="shared" si="5"/>
        <v>LOSS</v>
      </c>
      <c r="M76" s="242">
        <f>IF(COUNTA($F$6:$F$10)=5,(F77-F24)/F24,"")</f>
        <v>0.21244153181583553</v>
      </c>
      <c r="N76" s="238">
        <f t="shared" si="6"/>
        <v>2</v>
      </c>
      <c r="O76" s="14" t="str">
        <f t="shared" si="7"/>
        <v>last</v>
      </c>
      <c r="P76" s="14"/>
      <c r="Q76" s="14"/>
      <c r="R76" s="14"/>
      <c r="S76" s="14"/>
      <c r="T76" s="14"/>
      <c r="U76" s="14"/>
      <c r="V76" s="14"/>
      <c r="W76" s="39" t="str">
        <f>IF(AND(L76="WIN",L77&lt;&gt;"WIN"),SUMIF(L$24:L76,"WIN",K$24:K76)-SUM(W$23:W75),"")</f>
        <v/>
      </c>
      <c r="X76" s="41">
        <f>IF(AND(L76="LOSS",L77&lt;&gt;"LOSS"),SUMIF(L$24:L76,"LOSS",K$24:K76)-SUM(X$23:X75),"")</f>
        <v>-246.17474220115446</v>
      </c>
      <c r="Y76" s="8"/>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row>
    <row r="77" spans="1:53" ht="15.75">
      <c r="A77" s="149"/>
      <c r="B77" s="305" t="s">
        <v>121</v>
      </c>
      <c r="C77" s="306"/>
      <c r="D77" s="271">
        <v>50</v>
      </c>
      <c r="E77" s="272"/>
      <c r="F77" s="278">
        <f t="shared" si="9"/>
        <v>12124.415318158355</v>
      </c>
      <c r="G77" s="279"/>
      <c r="H77" s="275">
        <f t="shared" si="4"/>
        <v>121.24415318158356</v>
      </c>
      <c r="I77" s="276"/>
      <c r="J77" s="277"/>
      <c r="K77" s="75">
        <f t="shared" si="10"/>
        <v>145.49298381790027</v>
      </c>
      <c r="L77" s="81" t="str">
        <f t="shared" si="5"/>
        <v>WIN</v>
      </c>
      <c r="M77" s="242">
        <f>IF(COUNTA($F$6:$F$10)=5,(F78-F24)/F24,"")</f>
        <v>0.22699083019762548</v>
      </c>
      <c r="N77" s="238">
        <f t="shared" si="6"/>
        <v>1</v>
      </c>
      <c r="O77" s="14" t="str">
        <f t="shared" si="7"/>
        <v>last</v>
      </c>
      <c r="P77" s="14"/>
      <c r="Q77" s="14"/>
      <c r="R77" s="14"/>
      <c r="S77" s="14"/>
      <c r="T77" s="14"/>
      <c r="U77" s="14"/>
      <c r="V77" s="14"/>
      <c r="W77" s="39">
        <f>IF(AND(L77="WIN",L78&lt;&gt;"WIN"),SUMIF(L$24:L77,"WIN",K$24:K77)-SUM(W$23:W76),"")</f>
        <v>145.49298381790049</v>
      </c>
      <c r="X77" s="41" t="str">
        <f>IF(AND(L77="LOSS",L78&lt;&gt;"LOSS"),SUMIF(L$24:L77,"LOSS",K$24:K77)-SUM(X$23:X76),"")</f>
        <v/>
      </c>
      <c r="Y77" s="8"/>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row>
    <row r="78" spans="1:53" ht="15.75">
      <c r="A78" s="149"/>
      <c r="B78" s="305" t="s">
        <v>122</v>
      </c>
      <c r="C78" s="306"/>
      <c r="D78" s="271">
        <v>97</v>
      </c>
      <c r="E78" s="272"/>
      <c r="F78" s="278">
        <f t="shared" si="9"/>
        <v>12269.908301976255</v>
      </c>
      <c r="G78" s="279"/>
      <c r="H78" s="275">
        <f t="shared" si="4"/>
        <v>122.69908301976255</v>
      </c>
      <c r="I78" s="276"/>
      <c r="J78" s="277"/>
      <c r="K78" s="75">
        <f t="shared" si="10"/>
        <v>-122.69908301976255</v>
      </c>
      <c r="L78" s="81" t="str">
        <f t="shared" si="5"/>
        <v>LOSS</v>
      </c>
      <c r="M78" s="242">
        <f>IF(COUNTA($F$6:$F$10)=5,(F79-F24)/F24,"")</f>
        <v>0.2147209218956492</v>
      </c>
      <c r="N78" s="238">
        <f t="shared" si="6"/>
        <v>1</v>
      </c>
      <c r="O78" s="14" t="str">
        <f t="shared" si="7"/>
        <v>new</v>
      </c>
      <c r="P78" s="14"/>
      <c r="Q78" s="14"/>
      <c r="R78" s="14"/>
      <c r="S78" s="14"/>
      <c r="T78" s="14"/>
      <c r="U78" s="14"/>
      <c r="V78" s="14"/>
      <c r="W78" s="39" t="str">
        <f>IF(AND(L78="WIN",L79&lt;&gt;"WIN"),SUMIF(L$24:L78,"WIN",K$24:K78)-SUM(W$23:W77),"")</f>
        <v/>
      </c>
      <c r="X78" s="41" t="str">
        <f>IF(AND(L78="LOSS",L79&lt;&gt;"LOSS"),SUMIF(L$24:L78,"LOSS",K$24:K78)-SUM(X$23:X77),"")</f>
        <v/>
      </c>
      <c r="Y78" s="8"/>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row>
    <row r="79" spans="1:53" ht="15.75">
      <c r="A79" s="149"/>
      <c r="B79" s="305" t="s">
        <v>123</v>
      </c>
      <c r="C79" s="306"/>
      <c r="D79" s="271">
        <v>73</v>
      </c>
      <c r="E79" s="272"/>
      <c r="F79" s="278">
        <f t="shared" si="9"/>
        <v>12147.209218956492</v>
      </c>
      <c r="G79" s="279"/>
      <c r="H79" s="275">
        <f t="shared" si="4"/>
        <v>121.47209218956492</v>
      </c>
      <c r="I79" s="276"/>
      <c r="J79" s="277"/>
      <c r="K79" s="75">
        <f t="shared" si="10"/>
        <v>-121.47209218956492</v>
      </c>
      <c r="L79" s="81" t="str">
        <f t="shared" si="5"/>
        <v>LOSS</v>
      </c>
      <c r="M79" s="242">
        <f>IF(COUNTA($F$6:$F$10)=5,(F80-F24)/F24,"")</f>
        <v>0.20257371267669277</v>
      </c>
      <c r="N79" s="238">
        <f t="shared" si="6"/>
        <v>2</v>
      </c>
      <c r="O79" s="14" t="str">
        <f t="shared" si="7"/>
        <v>middle</v>
      </c>
      <c r="P79" s="14"/>
      <c r="Q79" s="14"/>
      <c r="R79" s="14"/>
      <c r="S79" s="14"/>
      <c r="T79" s="14"/>
      <c r="U79" s="14"/>
      <c r="V79" s="14"/>
      <c r="W79" s="39" t="str">
        <f>IF(AND(L79="WIN",L80&lt;&gt;"WIN"),SUMIF(L$24:L79,"WIN",K$24:K79)-SUM(W$23:W78),"")</f>
        <v/>
      </c>
      <c r="X79" s="41" t="str">
        <f>IF(AND(L79="LOSS",L80&lt;&gt;"LOSS"),SUMIF(L$24:L79,"LOSS",K$24:K79)-SUM(X$23:X78),"")</f>
        <v/>
      </c>
      <c r="Y79" s="8"/>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row>
    <row r="80" spans="1:53" ht="15.75">
      <c r="A80" s="149"/>
      <c r="B80" s="305" t="s">
        <v>124</v>
      </c>
      <c r="C80" s="306"/>
      <c r="D80" s="271">
        <v>91</v>
      </c>
      <c r="E80" s="272"/>
      <c r="F80" s="278">
        <f t="shared" si="9"/>
        <v>12025.737126766928</v>
      </c>
      <c r="G80" s="279"/>
      <c r="H80" s="275">
        <f t="shared" si="4"/>
        <v>120.25737126766928</v>
      </c>
      <c r="I80" s="276"/>
      <c r="J80" s="277"/>
      <c r="K80" s="75">
        <f t="shared" si="10"/>
        <v>-120.25737126766928</v>
      </c>
      <c r="L80" s="81" t="str">
        <f t="shared" si="5"/>
        <v>LOSS</v>
      </c>
      <c r="M80" s="242">
        <f>IF(COUNTA($F$6:$F$10)=5,(F81-F24)/F24,"")</f>
        <v>0.19054797554992584</v>
      </c>
      <c r="N80" s="238">
        <f t="shared" si="6"/>
        <v>3</v>
      </c>
      <c r="O80" s="14" t="str">
        <f t="shared" si="7"/>
        <v>last</v>
      </c>
      <c r="P80" s="14"/>
      <c r="Q80" s="14"/>
      <c r="R80" s="14"/>
      <c r="S80" s="14"/>
      <c r="T80" s="14"/>
      <c r="U80" s="14"/>
      <c r="V80" s="14"/>
      <c r="W80" s="39" t="str">
        <f>IF(AND(L80="WIN",L81&lt;&gt;"WIN"),SUMIF(L$24:L80,"WIN",K$24:K80)-SUM(W$23:W79),"")</f>
        <v/>
      </c>
      <c r="X80" s="41">
        <f>IF(AND(L80="LOSS",L81&lt;&gt;"LOSS"),SUMIF(L$24:L80,"LOSS",K$24:K80)-SUM(X$23:X79),"")</f>
        <v>-364.42854647699687</v>
      </c>
      <c r="Y80" s="8"/>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row>
    <row r="81" spans="1:53" ht="15.75">
      <c r="A81" s="149"/>
      <c r="B81" s="305" t="s">
        <v>125</v>
      </c>
      <c r="C81" s="306"/>
      <c r="D81" s="271">
        <v>48</v>
      </c>
      <c r="E81" s="272"/>
      <c r="F81" s="278">
        <f t="shared" si="9"/>
        <v>11905.479755499258</v>
      </c>
      <c r="G81" s="279"/>
      <c r="H81" s="275">
        <f t="shared" si="4"/>
        <v>119.05479755499259</v>
      </c>
      <c r="I81" s="276"/>
      <c r="J81" s="277"/>
      <c r="K81" s="75">
        <f t="shared" si="10"/>
        <v>142.86575706599109</v>
      </c>
      <c r="L81" s="81" t="str">
        <f t="shared" si="5"/>
        <v>WIN</v>
      </c>
      <c r="M81" s="242">
        <f>IF(COUNTA($F$6:$F$10)=5,(F82-F24)/F24,"")</f>
        <v>0.20483455125652489</v>
      </c>
      <c r="N81" s="238">
        <f t="shared" si="6"/>
        <v>1</v>
      </c>
      <c r="O81" s="14" t="str">
        <f t="shared" si="7"/>
        <v>last</v>
      </c>
      <c r="P81" s="14"/>
      <c r="Q81" s="14"/>
      <c r="R81" s="14"/>
      <c r="S81" s="14"/>
      <c r="T81" s="14"/>
      <c r="U81" s="14"/>
      <c r="V81" s="14"/>
      <c r="W81" s="39">
        <f>IF(AND(L81="WIN",L82&lt;&gt;"WIN"),SUMIF(L$24:L81,"WIN",K$24:K81)-SUM(W$23:W80),"")</f>
        <v>142.86575706599069</v>
      </c>
      <c r="X81" s="41" t="str">
        <f>IF(AND(L81="LOSS",L82&lt;&gt;"LOSS"),SUMIF(L$24:L81,"LOSS",K$24:K81)-SUM(X$23:X80),"")</f>
        <v/>
      </c>
      <c r="Y81" s="8"/>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row>
    <row r="82" spans="1:53" ht="15.75">
      <c r="A82" s="149"/>
      <c r="B82" s="305" t="s">
        <v>126</v>
      </c>
      <c r="C82" s="306"/>
      <c r="D82" s="271">
        <v>97</v>
      </c>
      <c r="E82" s="272"/>
      <c r="F82" s="278">
        <f t="shared" si="9"/>
        <v>12048.345512565249</v>
      </c>
      <c r="G82" s="279"/>
      <c r="H82" s="275">
        <f t="shared" si="4"/>
        <v>120.4834551256525</v>
      </c>
      <c r="I82" s="276"/>
      <c r="J82" s="277"/>
      <c r="K82" s="75">
        <f t="shared" si="10"/>
        <v>-120.4834551256525</v>
      </c>
      <c r="L82" s="81" t="str">
        <f t="shared" si="5"/>
        <v>LOSS</v>
      </c>
      <c r="M82" s="242">
        <f>IF(COUNTA($F$6:$F$10)=5,(F83-F24)/F24,"")</f>
        <v>0.19278620574395972</v>
      </c>
      <c r="N82" s="238">
        <f t="shared" si="6"/>
        <v>1</v>
      </c>
      <c r="O82" s="14" t="str">
        <f t="shared" si="7"/>
        <v>last</v>
      </c>
      <c r="P82" s="14"/>
      <c r="Q82" s="14"/>
      <c r="R82" s="14"/>
      <c r="S82" s="14"/>
      <c r="T82" s="14"/>
      <c r="U82" s="14"/>
      <c r="V82" s="14"/>
      <c r="W82" s="39" t="str">
        <f>IF(AND(L82="WIN",L83&lt;&gt;"WIN"),SUMIF(L$24:L82,"WIN",K$24:K82)-SUM(W$23:W81),"")</f>
        <v/>
      </c>
      <c r="X82" s="41">
        <f>IF(AND(L82="LOSS",L83&lt;&gt;"LOSS"),SUMIF(L$24:L82,"LOSS",K$24:K82)-SUM(X$23:X81),"")</f>
        <v>-120.48345512565265</v>
      </c>
      <c r="Y82" s="8"/>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row>
    <row r="83" spans="1:53" ht="15.75">
      <c r="A83" s="149"/>
      <c r="B83" s="305" t="s">
        <v>127</v>
      </c>
      <c r="C83" s="306"/>
      <c r="D83" s="271">
        <v>22</v>
      </c>
      <c r="E83" s="272"/>
      <c r="F83" s="278">
        <f t="shared" si="9"/>
        <v>11927.862057439597</v>
      </c>
      <c r="G83" s="279"/>
      <c r="H83" s="275">
        <f t="shared" si="4"/>
        <v>119.27862057439597</v>
      </c>
      <c r="I83" s="276"/>
      <c r="J83" s="277"/>
      <c r="K83" s="75">
        <f t="shared" si="10"/>
        <v>143.13434468927517</v>
      </c>
      <c r="L83" s="81" t="str">
        <f t="shared" si="5"/>
        <v>WIN</v>
      </c>
      <c r="M83" s="242">
        <f>IF(COUNTA($F$6:$F$10)=5,(F84-F24)/F24,"")</f>
        <v>0.20709964021288724</v>
      </c>
      <c r="N83" s="238">
        <f t="shared" si="6"/>
        <v>1</v>
      </c>
      <c r="O83" s="14" t="str">
        <f t="shared" si="7"/>
        <v>new</v>
      </c>
      <c r="P83" s="14"/>
      <c r="Q83" s="14"/>
      <c r="R83" s="14"/>
      <c r="S83" s="14"/>
      <c r="T83" s="14"/>
      <c r="U83" s="14"/>
      <c r="V83" s="14"/>
      <c r="W83" s="39" t="str">
        <f>IF(AND(L83="WIN",L84&lt;&gt;"WIN"),SUMIF(L$24:L83,"WIN",K$24:K83)-SUM(W$23:W82),"")</f>
        <v/>
      </c>
      <c r="X83" s="41" t="str">
        <f>IF(AND(L83="LOSS",L84&lt;&gt;"LOSS"),SUMIF(L$24:L83,"LOSS",K$24:K83)-SUM(X$23:X82),"")</f>
        <v/>
      </c>
      <c r="Y83" s="8"/>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row>
    <row r="84" spans="1:53" ht="15.75">
      <c r="A84" s="149"/>
      <c r="B84" s="305" t="s">
        <v>128</v>
      </c>
      <c r="C84" s="306"/>
      <c r="D84" s="271">
        <v>9</v>
      </c>
      <c r="E84" s="272"/>
      <c r="F84" s="278">
        <f t="shared" si="9"/>
        <v>12070.996402128872</v>
      </c>
      <c r="G84" s="279"/>
      <c r="H84" s="275">
        <f t="shared" si="4"/>
        <v>120.70996402128873</v>
      </c>
      <c r="I84" s="276"/>
      <c r="J84" s="277"/>
      <c r="K84" s="75">
        <f t="shared" si="10"/>
        <v>144.85195682554647</v>
      </c>
      <c r="L84" s="81" t="str">
        <f t="shared" si="5"/>
        <v>WIN</v>
      </c>
      <c r="M84" s="242">
        <f>IF(COUNTA($F$6:$F$10)=5,(F85-F24)/F24,"")</f>
        <v>0.22158483589544195</v>
      </c>
      <c r="N84" s="238">
        <f t="shared" si="6"/>
        <v>2</v>
      </c>
      <c r="O84" s="14" t="str">
        <f t="shared" si="7"/>
        <v>middle</v>
      </c>
      <c r="P84" s="14"/>
      <c r="Q84" s="14"/>
      <c r="R84" s="14"/>
      <c r="S84" s="14"/>
      <c r="T84" s="14"/>
      <c r="U84" s="14"/>
      <c r="V84" s="14"/>
      <c r="W84" s="39" t="str">
        <f>IF(AND(L84="WIN",L85&lt;&gt;"WIN"),SUMIF(L$24:L84,"WIN",K$24:K84)-SUM(W$23:W83),"")</f>
        <v/>
      </c>
      <c r="X84" s="41" t="str">
        <f>IF(AND(L84="LOSS",L85&lt;&gt;"LOSS"),SUMIF(L$24:L84,"LOSS",K$24:K84)-SUM(X$23:X83),"")</f>
        <v/>
      </c>
      <c r="Y84" s="8"/>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row>
    <row r="85" spans="1:53" ht="15.75">
      <c r="A85" s="149"/>
      <c r="B85" s="305" t="s">
        <v>129</v>
      </c>
      <c r="C85" s="306"/>
      <c r="D85" s="271">
        <v>51</v>
      </c>
      <c r="E85" s="272"/>
      <c r="F85" s="278">
        <f t="shared" si="9"/>
        <v>12215.848358954419</v>
      </c>
      <c r="G85" s="279"/>
      <c r="H85" s="275">
        <f t="shared" si="4"/>
        <v>122.15848358954419</v>
      </c>
      <c r="I85" s="276"/>
      <c r="J85" s="277"/>
      <c r="K85" s="75">
        <f t="shared" si="10"/>
        <v>146.59018030745301</v>
      </c>
      <c r="L85" s="81" t="str">
        <f t="shared" si="5"/>
        <v>WIN</v>
      </c>
      <c r="M85" s="242">
        <f>IF(COUNTA($F$6:$F$10)=5,(F86-F24)/F24,"")</f>
        <v>0.23624385392618732</v>
      </c>
      <c r="N85" s="238">
        <f t="shared" si="6"/>
        <v>3</v>
      </c>
      <c r="O85" s="14" t="str">
        <f t="shared" si="7"/>
        <v>middle</v>
      </c>
      <c r="P85" s="14"/>
      <c r="Q85" s="14"/>
      <c r="R85" s="14"/>
      <c r="S85" s="14"/>
      <c r="T85" s="14"/>
      <c r="U85" s="14"/>
      <c r="V85" s="14"/>
      <c r="W85" s="39" t="str">
        <f>IF(AND(L85="WIN",L86&lt;&gt;"WIN"),SUMIF(L$24:L85,"WIN",K$24:K85)-SUM(W$23:W84),"")</f>
        <v/>
      </c>
      <c r="X85" s="41" t="str">
        <f>IF(AND(L85="LOSS",L86&lt;&gt;"LOSS"),SUMIF(L$24:L85,"LOSS",K$24:K85)-SUM(X$23:X84),"")</f>
        <v/>
      </c>
      <c r="Y85" s="8"/>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row>
    <row r="86" spans="1:53" ht="15.75">
      <c r="A86" s="149"/>
      <c r="B86" s="305" t="s">
        <v>130</v>
      </c>
      <c r="C86" s="306"/>
      <c r="D86" s="271">
        <v>47</v>
      </c>
      <c r="E86" s="272"/>
      <c r="F86" s="278">
        <f t="shared" si="9"/>
        <v>12362.438539261873</v>
      </c>
      <c r="G86" s="279"/>
      <c r="H86" s="275">
        <f t="shared" si="4"/>
        <v>123.62438539261873</v>
      </c>
      <c r="I86" s="276"/>
      <c r="J86" s="277"/>
      <c r="K86" s="75">
        <f t="shared" si="10"/>
        <v>148.34926247114248</v>
      </c>
      <c r="L86" s="81" t="str">
        <f t="shared" si="5"/>
        <v>WIN</v>
      </c>
      <c r="M86" s="242">
        <f>IF(COUNTA($F$6:$F$10)=5,(F87-F24)/F24,"")</f>
        <v>0.25107878017330165</v>
      </c>
      <c r="N86" s="238">
        <f t="shared" si="6"/>
        <v>4</v>
      </c>
      <c r="O86" s="14" t="str">
        <f t="shared" si="7"/>
        <v>middle</v>
      </c>
      <c r="P86" s="14"/>
      <c r="Q86" s="14"/>
      <c r="R86" s="14"/>
      <c r="S86" s="14"/>
      <c r="T86" s="14"/>
      <c r="U86" s="14"/>
      <c r="V86" s="14"/>
      <c r="W86" s="39" t="str">
        <f>IF(AND(L86="WIN",L87&lt;&gt;"WIN"),SUMIF(L$24:L86,"WIN",K$24:K86)-SUM(W$23:W85),"")</f>
        <v/>
      </c>
      <c r="X86" s="41" t="str">
        <f>IF(AND(L86="LOSS",L87&lt;&gt;"LOSS"),SUMIF(L$24:L86,"LOSS",K$24:K86)-SUM(X$23:X85),"")</f>
        <v/>
      </c>
      <c r="Y86" s="8"/>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row>
    <row r="87" spans="1:53" ht="15.75">
      <c r="A87" s="149"/>
      <c r="B87" s="305" t="s">
        <v>131</v>
      </c>
      <c r="C87" s="306"/>
      <c r="D87" s="271">
        <v>12</v>
      </c>
      <c r="E87" s="272"/>
      <c r="F87" s="278">
        <f t="shared" si="9"/>
        <v>12510.787801733017</v>
      </c>
      <c r="G87" s="279"/>
      <c r="H87" s="275">
        <f t="shared" si="4"/>
        <v>125.10787801733017</v>
      </c>
      <c r="I87" s="276"/>
      <c r="J87" s="277"/>
      <c r="K87" s="75">
        <f t="shared" si="10"/>
        <v>150.1294536207962</v>
      </c>
      <c r="L87" s="81" t="str">
        <f t="shared" si="5"/>
        <v>WIN</v>
      </c>
      <c r="M87" s="242">
        <f>IF(COUNTA($F$6:$F$10)=5,(F88-F24)/F24,"")</f>
        <v>0.26609172553538135</v>
      </c>
      <c r="N87" s="238">
        <f t="shared" si="6"/>
        <v>5</v>
      </c>
      <c r="O87" s="14" t="str">
        <f t="shared" si="7"/>
        <v>last</v>
      </c>
      <c r="P87" s="14"/>
      <c r="Q87" s="14"/>
      <c r="R87" s="14"/>
      <c r="S87" s="14"/>
      <c r="T87" s="14"/>
      <c r="U87" s="14"/>
      <c r="V87" s="14"/>
      <c r="W87" s="39">
        <f>IF(AND(L87="WIN",L88&lt;&gt;"WIN"),SUMIF(L$24:L87,"WIN",K$24:K87)-SUM(W$23:W86),"")</f>
        <v>733.05519791421284</v>
      </c>
      <c r="X87" s="41" t="str">
        <f>IF(AND(L87="LOSS",L88&lt;&gt;"LOSS"),SUMIF(L$24:L87,"LOSS",K$24:K87)-SUM(X$23:X86),"")</f>
        <v/>
      </c>
      <c r="Y87" s="8"/>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row>
    <row r="88" spans="1:53" ht="15.75">
      <c r="A88" s="149"/>
      <c r="B88" s="305" t="s">
        <v>132</v>
      </c>
      <c r="C88" s="306"/>
      <c r="D88" s="271">
        <v>96</v>
      </c>
      <c r="E88" s="272"/>
      <c r="F88" s="278">
        <f t="shared" si="9"/>
        <v>12660.917255353814</v>
      </c>
      <c r="G88" s="279"/>
      <c r="H88" s="275">
        <f t="shared" si="4"/>
        <v>126.60917255353814</v>
      </c>
      <c r="I88" s="276"/>
      <c r="J88" s="277"/>
      <c r="K88" s="75">
        <f t="shared" si="10"/>
        <v>-126.60917255353814</v>
      </c>
      <c r="L88" s="81" t="str">
        <f t="shared" si="5"/>
        <v>LOSS</v>
      </c>
      <c r="M88" s="242">
        <f>IF(COUNTA($F$6:$F$10)=5,(F89-F24)/F24,"")</f>
        <v>0.25343080828002751</v>
      </c>
      <c r="N88" s="238">
        <f t="shared" si="6"/>
        <v>1</v>
      </c>
      <c r="O88" s="14" t="str">
        <f t="shared" si="7"/>
        <v>new</v>
      </c>
      <c r="P88" s="14"/>
      <c r="Q88" s="14"/>
      <c r="R88" s="14"/>
      <c r="S88" s="14"/>
      <c r="T88" s="14"/>
      <c r="U88" s="14"/>
      <c r="V88" s="14"/>
      <c r="W88" s="39" t="str">
        <f>IF(AND(L88="WIN",L89&lt;&gt;"WIN"),SUMIF(L$24:L88,"WIN",K$24:K88)-SUM(W$23:W87),"")</f>
        <v/>
      </c>
      <c r="X88" s="41" t="str">
        <f>IF(AND(L88="LOSS",L89&lt;&gt;"LOSS"),SUMIF(L$24:L88,"LOSS",K$24:K88)-SUM(X$23:X87),"")</f>
        <v/>
      </c>
      <c r="Y88" s="8"/>
      <c r="Z88" s="85"/>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row>
    <row r="89" spans="1:53" ht="15.75">
      <c r="A89" s="149"/>
      <c r="B89" s="305" t="s">
        <v>133</v>
      </c>
      <c r="C89" s="306"/>
      <c r="D89" s="271">
        <v>98</v>
      </c>
      <c r="E89" s="272"/>
      <c r="F89" s="278">
        <f t="shared" si="9"/>
        <v>12534.308082800275</v>
      </c>
      <c r="G89" s="279"/>
      <c r="H89" s="275">
        <f t="shared" ref="H89:H152" si="13">IF(COUNTBLANK($F$6:$F$10),"",F89*$F$7)</f>
        <v>125.34308082800275</v>
      </c>
      <c r="I89" s="276"/>
      <c r="J89" s="277"/>
      <c r="K89" s="75">
        <f t="shared" si="10"/>
        <v>-125.34308082800275</v>
      </c>
      <c r="L89" s="81" t="str">
        <f t="shared" ref="L89:L152" si="14">IF(D89="","",IF(D89&lt;$F$8,"WIN","LOSS"))</f>
        <v>LOSS</v>
      </c>
      <c r="M89" s="242">
        <f>IF(COUNTA($F$6:$F$10)=5,(F90-F24)/F24,"")</f>
        <v>0.24089650019722722</v>
      </c>
      <c r="N89" s="238">
        <f t="shared" ref="N89:N152" si="15">IF(L89=L88,N88+1,1)</f>
        <v>2</v>
      </c>
      <c r="O89" s="14" t="str">
        <f t="shared" ref="O89:O152" si="16">IF(N89=1,IF(N90=1,"last","new"),IF(N90=1,"last","middle"))</f>
        <v>last</v>
      </c>
      <c r="P89" s="14"/>
      <c r="Q89" s="14"/>
      <c r="R89" s="14"/>
      <c r="S89" s="14"/>
      <c r="T89" s="14"/>
      <c r="U89" s="14"/>
      <c r="V89" s="14"/>
      <c r="W89" s="39" t="str">
        <f>IF(AND(L89="WIN",L90&lt;&gt;"WIN"),SUMIF(L$24:L89,"WIN",K$24:K89)-SUM(W$23:W88),"")</f>
        <v/>
      </c>
      <c r="X89" s="41">
        <f>IF(AND(L89="LOSS",L90&lt;&gt;"LOSS"),SUMIF(L$24:L89,"LOSS",K$24:K89)-SUM(X$23:X88),"")</f>
        <v>-251.95225338154069</v>
      </c>
      <c r="Y89" s="8"/>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row>
    <row r="90" spans="1:53" ht="15.75">
      <c r="A90" s="149"/>
      <c r="B90" s="305" t="s">
        <v>134</v>
      </c>
      <c r="C90" s="306"/>
      <c r="D90" s="271">
        <v>13</v>
      </c>
      <c r="E90" s="272"/>
      <c r="F90" s="278">
        <f t="shared" ref="F90:F153" si="17">IF(COUNTBLANK($F$6:$F$10),"",IF(D89&lt;$F$8,(1+$F$7*$F$9)*F89-$F$10,(1-$F$7)*F89-$F$10))</f>
        <v>12408.965001972272</v>
      </c>
      <c r="G90" s="279"/>
      <c r="H90" s="275">
        <f t="shared" si="13"/>
        <v>124.08965001972273</v>
      </c>
      <c r="I90" s="276"/>
      <c r="J90" s="277"/>
      <c r="K90" s="75">
        <f t="shared" ref="K90:K153" si="18">IF(COUNTBLANK($F$6:$F$10),"", IF(L90="win", H90*$F$9-$F$10, IF(L90="loss", -H90-$F$10)))</f>
        <v>148.90758002366726</v>
      </c>
      <c r="L90" s="81" t="str">
        <f t="shared" si="14"/>
        <v>WIN</v>
      </c>
      <c r="M90" s="242">
        <f>IF(COUNTA($F$6:$F$10)=5,(F91-F24)/F24,"")</f>
        <v>0.25578725819959403</v>
      </c>
      <c r="N90" s="238">
        <f t="shared" si="15"/>
        <v>1</v>
      </c>
      <c r="O90" s="14" t="str">
        <f t="shared" si="16"/>
        <v>last</v>
      </c>
      <c r="P90" s="14"/>
      <c r="Q90" s="14"/>
      <c r="R90" s="14"/>
      <c r="S90" s="14"/>
      <c r="T90" s="14"/>
      <c r="U90" s="14"/>
      <c r="V90" s="14"/>
      <c r="W90" s="39">
        <f>IF(AND(L90="WIN",L91&lt;&gt;"WIN"),SUMIF(L$24:L90,"WIN",K$24:K90)-SUM(W$23:W89),"")</f>
        <v>148.90758002366692</v>
      </c>
      <c r="X90" s="41" t="str">
        <f>IF(AND(L90="LOSS",L91&lt;&gt;"LOSS"),SUMIF(L$24:L90,"LOSS",K$24:K90)-SUM(X$23:X89),"")</f>
        <v/>
      </c>
      <c r="Y90" s="8"/>
      <c r="Z90" s="85"/>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row>
    <row r="91" spans="1:53" ht="15.75">
      <c r="A91" s="149"/>
      <c r="B91" s="305" t="s">
        <v>135</v>
      </c>
      <c r="C91" s="306"/>
      <c r="D91" s="271">
        <v>70</v>
      </c>
      <c r="E91" s="272"/>
      <c r="F91" s="278">
        <f t="shared" si="17"/>
        <v>12557.87258199594</v>
      </c>
      <c r="G91" s="279"/>
      <c r="H91" s="275">
        <f t="shared" si="13"/>
        <v>125.5787258199594</v>
      </c>
      <c r="I91" s="276"/>
      <c r="J91" s="277"/>
      <c r="K91" s="75">
        <f t="shared" si="18"/>
        <v>-125.5787258199594</v>
      </c>
      <c r="L91" s="81" t="str">
        <f t="shared" si="14"/>
        <v>LOSS</v>
      </c>
      <c r="M91" s="242">
        <f>IF(COUNTA($F$6:$F$10)=5,(F92-F24)/F24,"")</f>
        <v>0.24322938561759802</v>
      </c>
      <c r="N91" s="238">
        <f t="shared" si="15"/>
        <v>1</v>
      </c>
      <c r="O91" s="14" t="str">
        <f t="shared" si="16"/>
        <v>last</v>
      </c>
      <c r="P91" s="14"/>
      <c r="Q91" s="14"/>
      <c r="R91" s="14"/>
      <c r="S91" s="14"/>
      <c r="T91" s="14"/>
      <c r="U91" s="14"/>
      <c r="V91" s="14"/>
      <c r="W91" s="39" t="str">
        <f>IF(AND(L91="WIN",L92&lt;&gt;"WIN"),SUMIF(L$24:L91,"WIN",K$24:K91)-SUM(W$23:W90),"")</f>
        <v/>
      </c>
      <c r="X91" s="41">
        <f>IF(AND(L91="LOSS",L92&lt;&gt;"LOSS"),SUMIF(L$24:L91,"LOSS",K$24:K91)-SUM(X$23:X90),"")</f>
        <v>-125.57872581995935</v>
      </c>
      <c r="Y91" s="8"/>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row>
    <row r="92" spans="1:53" ht="15.75">
      <c r="A92" s="149"/>
      <c r="B92" s="305" t="s">
        <v>136</v>
      </c>
      <c r="C92" s="306"/>
      <c r="D92" s="271">
        <v>12</v>
      </c>
      <c r="E92" s="272"/>
      <c r="F92" s="278">
        <f t="shared" si="17"/>
        <v>12432.29385617598</v>
      </c>
      <c r="G92" s="279"/>
      <c r="H92" s="275">
        <f t="shared" si="13"/>
        <v>124.3229385617598</v>
      </c>
      <c r="I92" s="276"/>
      <c r="J92" s="277"/>
      <c r="K92" s="75">
        <f t="shared" si="18"/>
        <v>149.18752627411175</v>
      </c>
      <c r="L92" s="81" t="str">
        <f t="shared" si="14"/>
        <v>WIN</v>
      </c>
      <c r="M92" s="242">
        <f>IF(COUNTA($F$6:$F$10)=5,(F93-F24)/F24,"")</f>
        <v>0.25814813824500926</v>
      </c>
      <c r="N92" s="238">
        <f t="shared" si="15"/>
        <v>1</v>
      </c>
      <c r="O92" s="14" t="str">
        <f t="shared" si="16"/>
        <v>new</v>
      </c>
      <c r="P92" s="14"/>
      <c r="Q92" s="14"/>
      <c r="R92" s="14"/>
      <c r="S92" s="14"/>
      <c r="T92" s="14"/>
      <c r="U92" s="14"/>
      <c r="V92" s="14"/>
      <c r="W92" s="39" t="str">
        <f>IF(AND(L92="WIN",L93&lt;&gt;"WIN"),SUMIF(L$24:L92,"WIN",K$24:K92)-SUM(W$23:W91),"")</f>
        <v/>
      </c>
      <c r="X92" s="41" t="str">
        <f>IF(AND(L92="LOSS",L93&lt;&gt;"LOSS"),SUMIF(L$24:L92,"LOSS",K$24:K92)-SUM(X$23:X91),"")</f>
        <v/>
      </c>
      <c r="Y92" s="8"/>
      <c r="Z92" s="193"/>
      <c r="AA92" s="193"/>
      <c r="AB92" s="193"/>
      <c r="AC92" s="193"/>
      <c r="AD92" s="193"/>
      <c r="AE92" s="193"/>
      <c r="AF92" s="193"/>
      <c r="AG92" s="193"/>
      <c r="AH92" s="193"/>
      <c r="AI92" s="193"/>
      <c r="AJ92" s="193"/>
      <c r="AK92" s="193"/>
      <c r="AL92" s="193"/>
      <c r="AM92" s="193"/>
      <c r="AN92" s="193"/>
      <c r="AO92" s="85"/>
      <c r="AP92" s="85"/>
      <c r="AQ92" s="85"/>
      <c r="AR92" s="85"/>
      <c r="AS92" s="85"/>
      <c r="AT92" s="85"/>
      <c r="AU92" s="85"/>
      <c r="AV92" s="85"/>
      <c r="AW92" s="85"/>
      <c r="AX92" s="85"/>
      <c r="AY92" s="85"/>
      <c r="AZ92" s="85"/>
      <c r="BA92" s="85"/>
    </row>
    <row r="93" spans="1:53" ht="15.75">
      <c r="A93" s="149"/>
      <c r="B93" s="305" t="s">
        <v>137</v>
      </c>
      <c r="C93" s="306"/>
      <c r="D93" s="271">
        <v>48</v>
      </c>
      <c r="E93" s="272"/>
      <c r="F93" s="278">
        <f t="shared" si="17"/>
        <v>12581.481382450092</v>
      </c>
      <c r="G93" s="279"/>
      <c r="H93" s="275">
        <f t="shared" si="13"/>
        <v>125.81481382450093</v>
      </c>
      <c r="I93" s="276"/>
      <c r="J93" s="277"/>
      <c r="K93" s="75">
        <f t="shared" si="18"/>
        <v>150.97777658940112</v>
      </c>
      <c r="L93" s="81" t="str">
        <f t="shared" si="14"/>
        <v>WIN</v>
      </c>
      <c r="M93" s="242">
        <f>IF(COUNTA($F$6:$F$10)=5,(F94-F24)/F24,"")</f>
        <v>0.27324591590394937</v>
      </c>
      <c r="N93" s="238">
        <f t="shared" si="15"/>
        <v>2</v>
      </c>
      <c r="O93" s="14" t="str">
        <f t="shared" si="16"/>
        <v>middle</v>
      </c>
      <c r="P93" s="14"/>
      <c r="Q93" s="14"/>
      <c r="R93" s="14"/>
      <c r="S93" s="14"/>
      <c r="T93" s="14"/>
      <c r="U93" s="14"/>
      <c r="V93" s="14"/>
      <c r="W93" s="39" t="str">
        <f>IF(AND(L93="WIN",L94&lt;&gt;"WIN"),SUMIF(L$24:L93,"WIN",K$24:K93)-SUM(W$23:W92),"")</f>
        <v/>
      </c>
      <c r="X93" s="41" t="str">
        <f>IF(AND(L93="LOSS",L94&lt;&gt;"LOSS"),SUMIF(L$24:L93,"LOSS",K$24:K93)-SUM(X$23:X92),"")</f>
        <v/>
      </c>
      <c r="Y93" s="8"/>
      <c r="Z93" s="194"/>
      <c r="AA93" s="194"/>
      <c r="AB93" s="194"/>
      <c r="AC93" s="194"/>
      <c r="AD93" s="194"/>
      <c r="AE93" s="194"/>
      <c r="AF93" s="194"/>
      <c r="AG93" s="194"/>
      <c r="AH93" s="194"/>
      <c r="AI93" s="194"/>
      <c r="AJ93" s="194"/>
      <c r="AK93" s="194"/>
      <c r="AL93" s="194"/>
      <c r="AM93" s="194"/>
      <c r="AN93" s="194"/>
      <c r="AO93" s="85"/>
      <c r="AP93" s="85"/>
      <c r="AQ93" s="85"/>
      <c r="AR93" s="85"/>
      <c r="AS93" s="85"/>
      <c r="AT93" s="85"/>
      <c r="AU93" s="85"/>
      <c r="AV93" s="85"/>
      <c r="AW93" s="85"/>
      <c r="AX93" s="85"/>
      <c r="AY93" s="85"/>
      <c r="AZ93" s="85"/>
      <c r="BA93" s="85"/>
    </row>
    <row r="94" spans="1:53" ht="15.75">
      <c r="A94" s="149"/>
      <c r="B94" s="305" t="s">
        <v>138</v>
      </c>
      <c r="C94" s="306"/>
      <c r="D94" s="271">
        <v>27</v>
      </c>
      <c r="E94" s="272"/>
      <c r="F94" s="278">
        <f t="shared" si="17"/>
        <v>12732.459159039494</v>
      </c>
      <c r="G94" s="279"/>
      <c r="H94" s="275">
        <f t="shared" si="13"/>
        <v>127.32459159039495</v>
      </c>
      <c r="I94" s="276"/>
      <c r="J94" s="277"/>
      <c r="K94" s="75">
        <f t="shared" si="18"/>
        <v>152.78950990847392</v>
      </c>
      <c r="L94" s="81" t="str">
        <f t="shared" si="14"/>
        <v>WIN</v>
      </c>
      <c r="M94" s="242">
        <f>IF(COUNTA($F$6:$F$10)=5,(F95-F24)/F24,"")</f>
        <v>0.28852486689479684</v>
      </c>
      <c r="N94" s="238">
        <f t="shared" si="15"/>
        <v>3</v>
      </c>
      <c r="O94" s="14" t="str">
        <f t="shared" si="16"/>
        <v>middle</v>
      </c>
      <c r="P94" s="14"/>
      <c r="Q94" s="14"/>
      <c r="R94" s="14"/>
      <c r="S94" s="14"/>
      <c r="T94" s="14"/>
      <c r="U94" s="14"/>
      <c r="V94" s="14"/>
      <c r="W94" s="39" t="str">
        <f>IF(AND(L94="WIN",L95&lt;&gt;"WIN"),SUMIF(L$24:L94,"WIN",K$24:K94)-SUM(W$23:W93),"")</f>
        <v/>
      </c>
      <c r="X94" s="41" t="str">
        <f>IF(AND(L94="LOSS",L95&lt;&gt;"LOSS"),SUMIF(L$24:L94,"LOSS",K$24:K94)-SUM(X$23:X93),"")</f>
        <v/>
      </c>
      <c r="Y94" s="8"/>
      <c r="Z94" s="194"/>
      <c r="AA94" s="194"/>
      <c r="AB94" s="194"/>
      <c r="AC94" s="194"/>
      <c r="AD94" s="194"/>
      <c r="AE94" s="194"/>
      <c r="AF94" s="194"/>
      <c r="AG94" s="194"/>
      <c r="AH94" s="194"/>
      <c r="AI94" s="194"/>
      <c r="AJ94" s="194"/>
      <c r="AK94" s="194"/>
      <c r="AL94" s="194"/>
      <c r="AM94" s="194"/>
      <c r="AN94" s="194"/>
      <c r="AO94" s="85"/>
      <c r="AP94" s="85"/>
      <c r="AQ94" s="85"/>
      <c r="AR94" s="85"/>
      <c r="AS94" s="85"/>
      <c r="AT94" s="85"/>
      <c r="AU94" s="85"/>
      <c r="AV94" s="85"/>
      <c r="AW94" s="85"/>
      <c r="AX94" s="85"/>
      <c r="AY94" s="85"/>
      <c r="AZ94" s="85"/>
      <c r="BA94" s="85"/>
    </row>
    <row r="95" spans="1:53" ht="15.75">
      <c r="A95" s="149"/>
      <c r="B95" s="305" t="s">
        <v>139</v>
      </c>
      <c r="C95" s="306"/>
      <c r="D95" s="271">
        <v>49</v>
      </c>
      <c r="E95" s="272"/>
      <c r="F95" s="278">
        <f t="shared" si="17"/>
        <v>12885.248668947968</v>
      </c>
      <c r="G95" s="279"/>
      <c r="H95" s="275">
        <f t="shared" si="13"/>
        <v>128.85248668947969</v>
      </c>
      <c r="I95" s="276"/>
      <c r="J95" s="277"/>
      <c r="K95" s="75">
        <f t="shared" si="18"/>
        <v>154.62298402737562</v>
      </c>
      <c r="L95" s="81" t="str">
        <f t="shared" si="14"/>
        <v>WIN</v>
      </c>
      <c r="M95" s="242">
        <f>IF(COUNTA($F$6:$F$10)=5,(F96-F24)/F24,"")</f>
        <v>0.30398716529753439</v>
      </c>
      <c r="N95" s="238">
        <f t="shared" si="15"/>
        <v>4</v>
      </c>
      <c r="O95" s="14" t="str">
        <f t="shared" si="16"/>
        <v>last</v>
      </c>
      <c r="P95" s="14"/>
      <c r="Q95" s="14"/>
      <c r="R95" s="14"/>
      <c r="S95" s="14"/>
      <c r="T95" s="14"/>
      <c r="U95" s="14"/>
      <c r="V95" s="14"/>
      <c r="W95" s="39">
        <f>IF(AND(L95="WIN",L96&lt;&gt;"WIN"),SUMIF(L$24:L95,"WIN",K$24:K95)-SUM(W$23:W94),"")</f>
        <v>607.57779679936175</v>
      </c>
      <c r="X95" s="41" t="str">
        <f>IF(AND(L95="LOSS",L96&lt;&gt;"LOSS"),SUMIF(L$24:L95,"LOSS",K$24:K95)-SUM(X$23:X94),"")</f>
        <v/>
      </c>
      <c r="Y95" s="8"/>
      <c r="Z95" s="195"/>
      <c r="AA95" s="195"/>
      <c r="AB95" s="195"/>
      <c r="AC95" s="195"/>
      <c r="AD95" s="195"/>
      <c r="AE95" s="195"/>
      <c r="AF95" s="195"/>
      <c r="AG95" s="24"/>
      <c r="AH95" s="24"/>
      <c r="AI95" s="24"/>
      <c r="AJ95" s="24"/>
      <c r="AK95" s="24"/>
      <c r="AL95" s="19"/>
      <c r="AM95" s="19"/>
      <c r="AN95" s="19"/>
      <c r="AO95" s="85"/>
      <c r="AP95" s="85"/>
      <c r="AQ95" s="85"/>
      <c r="AR95" s="85"/>
      <c r="AS95" s="85"/>
      <c r="AT95" s="85"/>
      <c r="AU95" s="85"/>
      <c r="AV95" s="85"/>
      <c r="AW95" s="85"/>
      <c r="AX95" s="85"/>
      <c r="AY95" s="85"/>
      <c r="AZ95" s="85"/>
      <c r="BA95" s="85"/>
    </row>
    <row r="96" spans="1:53" ht="15.75">
      <c r="A96" s="149"/>
      <c r="B96" s="305" t="s">
        <v>140</v>
      </c>
      <c r="C96" s="306"/>
      <c r="D96" s="271">
        <v>99</v>
      </c>
      <c r="E96" s="272"/>
      <c r="F96" s="278">
        <f t="shared" si="17"/>
        <v>13039.871652975344</v>
      </c>
      <c r="G96" s="279"/>
      <c r="H96" s="275">
        <f t="shared" si="13"/>
        <v>130.39871652975344</v>
      </c>
      <c r="I96" s="276"/>
      <c r="J96" s="277"/>
      <c r="K96" s="75">
        <f t="shared" si="18"/>
        <v>-130.39871652975344</v>
      </c>
      <c r="L96" s="81" t="str">
        <f t="shared" si="14"/>
        <v>LOSS</v>
      </c>
      <c r="M96" s="242">
        <f>IF(COUNTA($F$6:$F$10)=5,(F97-F24)/F24,"")</f>
        <v>0.29094729364455907</v>
      </c>
      <c r="N96" s="238">
        <f t="shared" si="15"/>
        <v>1</v>
      </c>
      <c r="O96" s="14" t="str">
        <f t="shared" si="16"/>
        <v>new</v>
      </c>
      <c r="P96" s="14"/>
      <c r="Q96" s="14"/>
      <c r="R96" s="14"/>
      <c r="S96" s="14"/>
      <c r="T96" s="14"/>
      <c r="U96" s="14"/>
      <c r="V96" s="14"/>
      <c r="W96" s="39" t="str">
        <f>IF(AND(L96="WIN",L97&lt;&gt;"WIN"),SUMIF(L$24:L96,"WIN",K$24:K96)-SUM(W$23:W95),"")</f>
        <v/>
      </c>
      <c r="X96" s="41" t="str">
        <f>IF(AND(L96="LOSS",L97&lt;&gt;"LOSS"),SUMIF(L$24:L96,"LOSS",K$24:K96)-SUM(X$23:X95),"")</f>
        <v/>
      </c>
      <c r="Y96" s="8"/>
      <c r="Z96" s="196"/>
      <c r="AA96" s="196"/>
      <c r="AB96" s="196"/>
      <c r="AC96" s="196"/>
      <c r="AD96" s="196"/>
      <c r="AE96" s="196"/>
      <c r="AF96" s="196"/>
      <c r="AG96" s="196"/>
      <c r="AH96" s="196"/>
      <c r="AI96" s="196"/>
      <c r="AJ96" s="196"/>
      <c r="AK96" s="196"/>
      <c r="AL96" s="196"/>
      <c r="AM96" s="196"/>
      <c r="AN96" s="196"/>
      <c r="AO96" s="85"/>
      <c r="AP96" s="85"/>
      <c r="AQ96" s="85"/>
      <c r="AR96" s="85"/>
      <c r="AS96" s="85"/>
      <c r="AT96" s="85"/>
      <c r="AU96" s="85"/>
      <c r="AV96" s="85"/>
      <c r="AW96" s="85"/>
      <c r="AX96" s="85"/>
      <c r="AY96" s="85"/>
      <c r="AZ96" s="85"/>
      <c r="BA96" s="85"/>
    </row>
    <row r="97" spans="1:53" ht="15.75">
      <c r="A97" s="149"/>
      <c r="B97" s="305" t="s">
        <v>141</v>
      </c>
      <c r="C97" s="306"/>
      <c r="D97" s="271">
        <v>79</v>
      </c>
      <c r="E97" s="272"/>
      <c r="F97" s="278">
        <f t="shared" si="17"/>
        <v>12909.472936445591</v>
      </c>
      <c r="G97" s="279"/>
      <c r="H97" s="275">
        <f t="shared" si="13"/>
        <v>129.0947293644559</v>
      </c>
      <c r="I97" s="276"/>
      <c r="J97" s="277"/>
      <c r="K97" s="75">
        <f t="shared" si="18"/>
        <v>-129.0947293644559</v>
      </c>
      <c r="L97" s="81" t="str">
        <f t="shared" si="14"/>
        <v>LOSS</v>
      </c>
      <c r="M97" s="242">
        <f>IF(COUNTA($F$6:$F$10)=5,(F98-F24)/F24,"")</f>
        <v>0.27803782070811339</v>
      </c>
      <c r="N97" s="238">
        <f t="shared" si="15"/>
        <v>2</v>
      </c>
      <c r="O97" s="14" t="str">
        <f t="shared" si="16"/>
        <v>middle</v>
      </c>
      <c r="P97" s="14"/>
      <c r="Q97" s="14"/>
      <c r="R97" s="14"/>
      <c r="S97" s="14"/>
      <c r="T97" s="14"/>
      <c r="U97" s="14"/>
      <c r="V97" s="14"/>
      <c r="W97" s="39" t="str">
        <f>IF(AND(L97="WIN",L98&lt;&gt;"WIN"),SUMIF(L$24:L97,"WIN",K$24:K97)-SUM(W$23:W96),"")</f>
        <v/>
      </c>
      <c r="X97" s="41" t="str">
        <f>IF(AND(L97="LOSS",L98&lt;&gt;"LOSS"),SUMIF(L$24:L97,"LOSS",K$24:K97)-SUM(X$23:X96),"")</f>
        <v/>
      </c>
      <c r="Y97" s="8"/>
      <c r="Z97" s="99"/>
      <c r="AA97" s="99"/>
      <c r="AB97" s="99"/>
      <c r="AC97" s="99"/>
      <c r="AD97" s="99"/>
      <c r="AE97" s="99"/>
      <c r="AF97" s="99"/>
      <c r="AG97" s="99"/>
      <c r="AH97" s="99"/>
      <c r="AI97" s="99"/>
      <c r="AJ97" s="99"/>
      <c r="AK97" s="99"/>
      <c r="AL97" s="99"/>
      <c r="AM97" s="99"/>
      <c r="AN97" s="99"/>
      <c r="AO97" s="85"/>
      <c r="AP97" s="85"/>
      <c r="AQ97" s="85"/>
      <c r="AR97" s="85"/>
      <c r="AS97" s="85"/>
      <c r="AT97" s="85"/>
      <c r="AU97" s="85"/>
      <c r="AV97" s="85"/>
      <c r="AW97" s="85"/>
      <c r="AX97" s="85"/>
      <c r="AY97" s="85"/>
      <c r="AZ97" s="85"/>
      <c r="BA97" s="85"/>
    </row>
    <row r="98" spans="1:53" ht="15.75">
      <c r="A98" s="149"/>
      <c r="B98" s="305" t="s">
        <v>142</v>
      </c>
      <c r="C98" s="306"/>
      <c r="D98" s="271">
        <v>74</v>
      </c>
      <c r="E98" s="272"/>
      <c r="F98" s="278">
        <f t="shared" si="17"/>
        <v>12780.378207081134</v>
      </c>
      <c r="G98" s="279"/>
      <c r="H98" s="275">
        <f t="shared" si="13"/>
        <v>127.80378207081134</v>
      </c>
      <c r="I98" s="276"/>
      <c r="J98" s="277"/>
      <c r="K98" s="75">
        <f t="shared" si="18"/>
        <v>-127.80378207081134</v>
      </c>
      <c r="L98" s="81" t="str">
        <f t="shared" si="14"/>
        <v>LOSS</v>
      </c>
      <c r="M98" s="242">
        <f>IF(COUNTA($F$6:$F$10)=5,(F99-F24)/F24,"")</f>
        <v>0.26525744250103217</v>
      </c>
      <c r="N98" s="238">
        <f t="shared" si="15"/>
        <v>3</v>
      </c>
      <c r="O98" s="14" t="str">
        <f t="shared" si="16"/>
        <v>middle</v>
      </c>
      <c r="P98" s="14"/>
      <c r="Q98" s="14"/>
      <c r="R98" s="14"/>
      <c r="S98" s="14"/>
      <c r="T98" s="14"/>
      <c r="U98" s="14"/>
      <c r="V98" s="14"/>
      <c r="W98" s="39" t="str">
        <f>IF(AND(L98="WIN",L99&lt;&gt;"WIN"),SUMIF(L$24:L98,"WIN",K$24:K98)-SUM(W$23:W97),"")</f>
        <v/>
      </c>
      <c r="X98" s="41" t="str">
        <f>IF(AND(L98="LOSS",L99&lt;&gt;"LOSS"),SUMIF(L$24:L98,"LOSS",K$24:K98)-SUM(X$23:X97),"")</f>
        <v/>
      </c>
      <c r="Y98" s="8"/>
      <c r="Z98" s="99"/>
      <c r="AA98" s="99"/>
      <c r="AB98" s="99"/>
      <c r="AC98" s="99"/>
      <c r="AD98" s="99"/>
      <c r="AE98" s="99"/>
      <c r="AF98" s="99"/>
      <c r="AG98" s="99"/>
      <c r="AH98" s="99"/>
      <c r="AI98" s="99"/>
      <c r="AJ98" s="99"/>
      <c r="AK98" s="99"/>
      <c r="AL98" s="99"/>
      <c r="AM98" s="99"/>
      <c r="AN98" s="99"/>
      <c r="AO98" s="85"/>
      <c r="AP98" s="85"/>
      <c r="AQ98" s="85"/>
      <c r="AR98" s="85"/>
      <c r="AS98" s="85"/>
      <c r="AT98" s="85"/>
      <c r="AU98" s="85"/>
      <c r="AV98" s="85"/>
      <c r="AW98" s="85"/>
      <c r="AX98" s="85"/>
      <c r="AY98" s="85"/>
      <c r="AZ98" s="85"/>
      <c r="BA98" s="85"/>
    </row>
    <row r="99" spans="1:53" ht="15.75">
      <c r="A99" s="149"/>
      <c r="B99" s="305" t="s">
        <v>143</v>
      </c>
      <c r="C99" s="306"/>
      <c r="D99" s="271">
        <v>65</v>
      </c>
      <c r="E99" s="272"/>
      <c r="F99" s="278">
        <f t="shared" si="17"/>
        <v>12652.574425010322</v>
      </c>
      <c r="G99" s="279"/>
      <c r="H99" s="275">
        <f t="shared" si="13"/>
        <v>126.52574425010322</v>
      </c>
      <c r="I99" s="276"/>
      <c r="J99" s="277"/>
      <c r="K99" s="75">
        <f t="shared" si="18"/>
        <v>-126.52574425010322</v>
      </c>
      <c r="L99" s="81" t="str">
        <f t="shared" si="14"/>
        <v>LOSS</v>
      </c>
      <c r="M99" s="242">
        <f>IF(COUNTA($F$6:$F$10)=5,(F100-F24)/F24,"")</f>
        <v>0.25260486807602195</v>
      </c>
      <c r="N99" s="238">
        <f t="shared" si="15"/>
        <v>4</v>
      </c>
      <c r="O99" s="14" t="str">
        <f t="shared" si="16"/>
        <v>last</v>
      </c>
      <c r="P99" s="14"/>
      <c r="Q99" s="14"/>
      <c r="R99" s="14"/>
      <c r="S99" s="14"/>
      <c r="T99" s="14"/>
      <c r="U99" s="14"/>
      <c r="V99" s="14"/>
      <c r="W99" s="39" t="str">
        <f>IF(AND(L99="WIN",L100&lt;&gt;"WIN"),SUMIF(L$24:L99,"WIN",K$24:K99)-SUM(W$23:W98),"")</f>
        <v/>
      </c>
      <c r="X99" s="41">
        <f>IF(AND(L99="LOSS",L100&lt;&gt;"LOSS"),SUMIF(L$24:L99,"LOSS",K$24:K99)-SUM(X$23:X98),"")</f>
        <v>-513.82297221512408</v>
      </c>
      <c r="Y99" s="8"/>
      <c r="Z99" s="99"/>
      <c r="AA99" s="99"/>
      <c r="AB99" s="99"/>
      <c r="AC99" s="99"/>
      <c r="AD99" s="99"/>
      <c r="AE99" s="99"/>
      <c r="AF99" s="99"/>
      <c r="AG99" s="99"/>
      <c r="AH99" s="99"/>
      <c r="AI99" s="99"/>
      <c r="AJ99" s="99"/>
      <c r="AK99" s="99"/>
      <c r="AL99" s="99"/>
      <c r="AM99" s="99"/>
      <c r="AN99" s="85"/>
      <c r="AO99" s="85"/>
      <c r="AP99" s="85"/>
      <c r="AQ99" s="85"/>
      <c r="AR99" s="85"/>
      <c r="AS99" s="85"/>
      <c r="AT99" s="85"/>
      <c r="AU99" s="85"/>
      <c r="AV99" s="85"/>
      <c r="AW99" s="85"/>
      <c r="AX99" s="85"/>
      <c r="AY99" s="85"/>
      <c r="AZ99" s="85"/>
      <c r="BA99" s="85"/>
    </row>
    <row r="100" spans="1:53" ht="15.75">
      <c r="A100" s="149"/>
      <c r="B100" s="305" t="s">
        <v>144</v>
      </c>
      <c r="C100" s="306"/>
      <c r="D100" s="271">
        <v>14</v>
      </c>
      <c r="E100" s="272"/>
      <c r="F100" s="278">
        <f t="shared" si="17"/>
        <v>12526.048680760219</v>
      </c>
      <c r="G100" s="279"/>
      <c r="H100" s="275">
        <f t="shared" si="13"/>
        <v>125.26048680760219</v>
      </c>
      <c r="I100" s="276"/>
      <c r="J100" s="277"/>
      <c r="K100" s="75">
        <f t="shared" si="18"/>
        <v>150.31258416912263</v>
      </c>
      <c r="L100" s="81" t="str">
        <f t="shared" si="14"/>
        <v>WIN</v>
      </c>
      <c r="M100" s="242">
        <f>IF(COUNTA($F$6:$F$10)=5,(F101-F24)/F24,"")</f>
        <v>0.26763612649293428</v>
      </c>
      <c r="N100" s="238">
        <f t="shared" si="15"/>
        <v>1</v>
      </c>
      <c r="O100" s="14" t="str">
        <f t="shared" si="16"/>
        <v>new</v>
      </c>
      <c r="P100" s="14"/>
      <c r="Q100" s="14"/>
      <c r="R100" s="14"/>
      <c r="S100" s="14"/>
      <c r="T100" s="14"/>
      <c r="U100" s="14"/>
      <c r="V100" s="14"/>
      <c r="W100" s="39" t="str">
        <f>IF(AND(L100="WIN",L101&lt;&gt;"WIN"),SUMIF(L$24:L100,"WIN",K$24:K100)-SUM(W$23:W99),"")</f>
        <v/>
      </c>
      <c r="X100" s="41" t="str">
        <f>IF(AND(L100="LOSS",L101&lt;&gt;"LOSS"),SUMIF(L$24:L100,"LOSS",K$24:K100)-SUM(X$23:X99),"")</f>
        <v/>
      </c>
      <c r="Y100" s="8"/>
      <c r="Z100" s="99"/>
      <c r="AA100" s="99"/>
      <c r="AB100" s="99"/>
      <c r="AC100" s="99"/>
      <c r="AD100" s="99"/>
      <c r="AE100" s="99"/>
      <c r="AF100" s="99"/>
      <c r="AG100" s="99"/>
      <c r="AH100" s="99"/>
      <c r="AI100" s="99"/>
      <c r="AJ100" s="99"/>
      <c r="AK100" s="99"/>
      <c r="AL100" s="99"/>
      <c r="AM100" s="99"/>
      <c r="AN100" s="85"/>
      <c r="AO100" s="85"/>
      <c r="AP100" s="85"/>
      <c r="AQ100" s="85"/>
      <c r="AR100" s="85"/>
      <c r="AS100" s="85"/>
      <c r="AT100" s="85"/>
      <c r="AU100" s="85"/>
      <c r="AV100" s="85"/>
      <c r="AW100" s="85"/>
      <c r="AX100" s="85"/>
      <c r="AY100" s="85"/>
      <c r="AZ100" s="85"/>
      <c r="BA100" s="85"/>
    </row>
    <row r="101" spans="1:53" ht="15.75">
      <c r="A101" s="149"/>
      <c r="B101" s="305" t="s">
        <v>145</v>
      </c>
      <c r="C101" s="306"/>
      <c r="D101" s="271">
        <v>26</v>
      </c>
      <c r="E101" s="272"/>
      <c r="F101" s="278">
        <f t="shared" si="17"/>
        <v>12676.361264929343</v>
      </c>
      <c r="G101" s="279"/>
      <c r="H101" s="275">
        <f t="shared" si="13"/>
        <v>126.76361264929344</v>
      </c>
      <c r="I101" s="276"/>
      <c r="J101" s="277"/>
      <c r="K101" s="75">
        <f t="shared" si="18"/>
        <v>152.11633517915212</v>
      </c>
      <c r="L101" s="81" t="str">
        <f t="shared" si="14"/>
        <v>WIN</v>
      </c>
      <c r="M101" s="242">
        <f>IF(COUNTA($F$6:$F$10)=5,(F102-F24)/F24,"")</f>
        <v>0.28284776001084955</v>
      </c>
      <c r="N101" s="238">
        <f t="shared" si="15"/>
        <v>2</v>
      </c>
      <c r="O101" s="14" t="str">
        <f t="shared" si="16"/>
        <v>middle</v>
      </c>
      <c r="P101" s="14"/>
      <c r="Q101" s="14"/>
      <c r="R101" s="14"/>
      <c r="S101" s="14"/>
      <c r="T101" s="14"/>
      <c r="U101" s="14"/>
      <c r="V101" s="14"/>
      <c r="W101" s="39" t="str">
        <f>IF(AND(L101="WIN",L102&lt;&gt;"WIN"),SUMIF(L$24:L101,"WIN",K$24:K101)-SUM(W$23:W100),"")</f>
        <v/>
      </c>
      <c r="X101" s="41" t="str">
        <f>IF(AND(L101="LOSS",L102&lt;&gt;"LOSS"),SUMIF(L$24:L101,"LOSS",K$24:K101)-SUM(X$23:X100),"")</f>
        <v/>
      </c>
      <c r="Y101" s="8"/>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row>
    <row r="102" spans="1:53" ht="15.75">
      <c r="A102" s="149"/>
      <c r="B102" s="305" t="s">
        <v>146</v>
      </c>
      <c r="C102" s="306"/>
      <c r="D102" s="271">
        <v>30</v>
      </c>
      <c r="E102" s="272"/>
      <c r="F102" s="278">
        <f t="shared" si="17"/>
        <v>12828.477600108496</v>
      </c>
      <c r="G102" s="279"/>
      <c r="H102" s="275">
        <f t="shared" si="13"/>
        <v>128.28477600108496</v>
      </c>
      <c r="I102" s="276"/>
      <c r="J102" s="277"/>
      <c r="K102" s="75">
        <f t="shared" si="18"/>
        <v>153.94173120130196</v>
      </c>
      <c r="L102" s="81" t="str">
        <f t="shared" si="14"/>
        <v>WIN</v>
      </c>
      <c r="M102" s="242">
        <f>IF(COUNTA($F$6:$F$10)=5,(F103-F24)/F24,"")</f>
        <v>0.29824193313097985</v>
      </c>
      <c r="N102" s="238">
        <f t="shared" si="15"/>
        <v>3</v>
      </c>
      <c r="O102" s="14" t="str">
        <f t="shared" si="16"/>
        <v>last</v>
      </c>
      <c r="P102" s="14"/>
      <c r="Q102" s="14"/>
      <c r="R102" s="14"/>
      <c r="S102" s="14"/>
      <c r="T102" s="14"/>
      <c r="U102" s="14"/>
      <c r="V102" s="14"/>
      <c r="W102" s="39">
        <f>IF(AND(L102="WIN",L103&lt;&gt;"WIN"),SUMIF(L$24:L102,"WIN",K$24:K102)-SUM(W$23:W101),"")</f>
        <v>456.37065054957657</v>
      </c>
      <c r="X102" s="41" t="str">
        <f>IF(AND(L102="LOSS",L103&lt;&gt;"LOSS"),SUMIF(L$24:L102,"LOSS",K$24:K102)-SUM(X$23:X101),"")</f>
        <v/>
      </c>
      <c r="Y102" s="8"/>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row>
    <row r="103" spans="1:53" ht="15.75">
      <c r="A103" s="149"/>
      <c r="B103" s="305" t="s">
        <v>147</v>
      </c>
      <c r="C103" s="306"/>
      <c r="D103" s="271">
        <v>57</v>
      </c>
      <c r="E103" s="272"/>
      <c r="F103" s="278">
        <f t="shared" si="17"/>
        <v>12982.419331309799</v>
      </c>
      <c r="G103" s="279"/>
      <c r="H103" s="275">
        <f t="shared" si="13"/>
        <v>129.82419331309799</v>
      </c>
      <c r="I103" s="276"/>
      <c r="J103" s="277"/>
      <c r="K103" s="75">
        <f t="shared" si="18"/>
        <v>-129.82419331309799</v>
      </c>
      <c r="L103" s="81" t="str">
        <f t="shared" si="14"/>
        <v>LOSS</v>
      </c>
      <c r="M103" s="242">
        <f>IF(COUNTA($F$6:$F$10)=5,(F104-F24)/F24,"")</f>
        <v>0.28525951379967007</v>
      </c>
      <c r="N103" s="238">
        <f t="shared" si="15"/>
        <v>1</v>
      </c>
      <c r="O103" s="14" t="str">
        <f t="shared" si="16"/>
        <v>last</v>
      </c>
      <c r="P103" s="14"/>
      <c r="Q103" s="14"/>
      <c r="R103" s="14"/>
      <c r="S103" s="14"/>
      <c r="T103" s="14"/>
      <c r="U103" s="14"/>
      <c r="V103" s="14"/>
      <c r="W103" s="39" t="str">
        <f>IF(AND(L103="WIN",L104&lt;&gt;"WIN"),SUMIF(L$24:L103,"WIN",K$24:K103)-SUM(W$23:W102),"")</f>
        <v/>
      </c>
      <c r="X103" s="41">
        <f>IF(AND(L103="LOSS",L104&lt;&gt;"LOSS"),SUMIF(L$24:L103,"LOSS",K$24:K103)-SUM(X$23:X102),"")</f>
        <v>-129.82419331309802</v>
      </c>
      <c r="Y103" s="8"/>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row>
    <row r="104" spans="1:53" ht="15.75">
      <c r="A104" s="149"/>
      <c r="B104" s="305" t="s">
        <v>148</v>
      </c>
      <c r="C104" s="306"/>
      <c r="D104" s="271">
        <v>53</v>
      </c>
      <c r="E104" s="272"/>
      <c r="F104" s="278">
        <f t="shared" si="17"/>
        <v>12852.595137996701</v>
      </c>
      <c r="G104" s="279"/>
      <c r="H104" s="275">
        <f t="shared" si="13"/>
        <v>128.52595137996701</v>
      </c>
      <c r="I104" s="276"/>
      <c r="J104" s="277"/>
      <c r="K104" s="75">
        <f t="shared" si="18"/>
        <v>154.23114165596041</v>
      </c>
      <c r="L104" s="81" t="str">
        <f t="shared" si="14"/>
        <v>WIN</v>
      </c>
      <c r="M104" s="242">
        <f>IF(COUNTA($F$6:$F$10)=5,(F105-F24)/F24,"")</f>
        <v>0.30068262796526612</v>
      </c>
      <c r="N104" s="238">
        <f t="shared" si="15"/>
        <v>1</v>
      </c>
      <c r="O104" s="14" t="str">
        <f t="shared" si="16"/>
        <v>new</v>
      </c>
      <c r="P104" s="14"/>
      <c r="Q104" s="14"/>
      <c r="R104" s="14"/>
      <c r="S104" s="14"/>
      <c r="T104" s="14"/>
      <c r="U104" s="14"/>
      <c r="V104" s="14"/>
      <c r="W104" s="39" t="str">
        <f>IF(AND(L104="WIN",L105&lt;&gt;"WIN"),SUMIF(L$24:L104,"WIN",K$24:K104)-SUM(W$23:W103),"")</f>
        <v/>
      </c>
      <c r="X104" s="41" t="str">
        <f>IF(AND(L104="LOSS",L105&lt;&gt;"LOSS"),SUMIF(L$24:L104,"LOSS",K$24:K104)-SUM(X$23:X103),"")</f>
        <v/>
      </c>
      <c r="Y104" s="8"/>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row>
    <row r="105" spans="1:53" ht="15.75">
      <c r="A105" s="149"/>
      <c r="B105" s="305" t="s">
        <v>149</v>
      </c>
      <c r="C105" s="306"/>
      <c r="D105" s="271">
        <v>21</v>
      </c>
      <c r="E105" s="272"/>
      <c r="F105" s="278">
        <f t="shared" si="17"/>
        <v>13006.826279652661</v>
      </c>
      <c r="G105" s="279"/>
      <c r="H105" s="275">
        <f t="shared" si="13"/>
        <v>130.06826279652662</v>
      </c>
      <c r="I105" s="276"/>
      <c r="J105" s="277"/>
      <c r="K105" s="75">
        <f t="shared" si="18"/>
        <v>156.08191535583194</v>
      </c>
      <c r="L105" s="81" t="str">
        <f t="shared" si="14"/>
        <v>WIN</v>
      </c>
      <c r="M105" s="242">
        <f>IF(COUNTA($F$6:$F$10)=5,(F106-F24)/F24,"")</f>
        <v>0.31629081950084931</v>
      </c>
      <c r="N105" s="238">
        <f t="shared" si="15"/>
        <v>2</v>
      </c>
      <c r="O105" s="14" t="str">
        <f t="shared" si="16"/>
        <v>last</v>
      </c>
      <c r="P105" s="14"/>
      <c r="Q105" s="14"/>
      <c r="R105" s="14"/>
      <c r="S105" s="14"/>
      <c r="T105" s="14"/>
      <c r="U105" s="14"/>
      <c r="V105" s="14"/>
      <c r="W105" s="39">
        <f>IF(AND(L105="WIN",L106&lt;&gt;"WIN"),SUMIF(L$24:L105,"WIN",K$24:K105)-SUM(W$23:W104),"")</f>
        <v>310.31305701179281</v>
      </c>
      <c r="X105" s="41" t="str">
        <f>IF(AND(L105="LOSS",L106&lt;&gt;"LOSS"),SUMIF(L$24:L105,"LOSS",K$24:K105)-SUM(X$23:X104),"")</f>
        <v/>
      </c>
      <c r="Y105" s="8"/>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row>
    <row r="106" spans="1:53" ht="15.75">
      <c r="A106" s="149"/>
      <c r="B106" s="305" t="s">
        <v>150</v>
      </c>
      <c r="C106" s="306"/>
      <c r="D106" s="271">
        <v>65</v>
      </c>
      <c r="E106" s="272"/>
      <c r="F106" s="278">
        <f t="shared" si="17"/>
        <v>13162.908195008493</v>
      </c>
      <c r="G106" s="279"/>
      <c r="H106" s="275">
        <f t="shared" si="13"/>
        <v>131.62908195008492</v>
      </c>
      <c r="I106" s="276"/>
      <c r="J106" s="277"/>
      <c r="K106" s="75">
        <f t="shared" si="18"/>
        <v>-131.62908195008492</v>
      </c>
      <c r="L106" s="81" t="str">
        <f t="shared" si="14"/>
        <v>LOSS</v>
      </c>
      <c r="M106" s="242">
        <f>IF(COUNTA($F$6:$F$10)=5,(F107-F24)/F24,"")</f>
        <v>0.30312791130584082</v>
      </c>
      <c r="N106" s="238">
        <f t="shared" si="15"/>
        <v>1</v>
      </c>
      <c r="O106" s="14" t="str">
        <f t="shared" si="16"/>
        <v>last</v>
      </c>
      <c r="P106" s="14"/>
      <c r="Q106" s="14"/>
      <c r="R106" s="14"/>
      <c r="S106" s="14"/>
      <c r="T106" s="14"/>
      <c r="U106" s="14"/>
      <c r="V106" s="14"/>
      <c r="W106" s="39" t="str">
        <f>IF(AND(L106="WIN",L107&lt;&gt;"WIN"),SUMIF(L$24:L106,"WIN",K$24:K106)-SUM(W$23:W105),"")</f>
        <v/>
      </c>
      <c r="X106" s="41">
        <f>IF(AND(L106="LOSS",L107&lt;&gt;"LOSS"),SUMIF(L$24:L106,"LOSS",K$24:K106)-SUM(X$23:X105),"")</f>
        <v>-131.62908195008504</v>
      </c>
      <c r="Y106" s="8"/>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row>
    <row r="107" spans="1:53" ht="15.75">
      <c r="A107" s="149"/>
      <c r="B107" s="305" t="s">
        <v>151</v>
      </c>
      <c r="C107" s="306"/>
      <c r="D107" s="271">
        <v>36</v>
      </c>
      <c r="E107" s="272"/>
      <c r="F107" s="278">
        <f t="shared" si="17"/>
        <v>13031.279113058408</v>
      </c>
      <c r="G107" s="279"/>
      <c r="H107" s="275">
        <f t="shared" si="13"/>
        <v>130.31279113058409</v>
      </c>
      <c r="I107" s="276"/>
      <c r="J107" s="277"/>
      <c r="K107" s="75">
        <f t="shared" si="18"/>
        <v>156.37534935670089</v>
      </c>
      <c r="L107" s="81" t="str">
        <f t="shared" si="14"/>
        <v>WIN</v>
      </c>
      <c r="M107" s="242">
        <f>IF(COUNTA($F$6:$F$10)=5,(F108-F24)/F24,"")</f>
        <v>0.31876544624151104</v>
      </c>
      <c r="N107" s="238">
        <f t="shared" si="15"/>
        <v>1</v>
      </c>
      <c r="O107" s="14" t="str">
        <f t="shared" si="16"/>
        <v>last</v>
      </c>
      <c r="P107" s="14"/>
      <c r="Q107" s="14"/>
      <c r="R107" s="14"/>
      <c r="S107" s="14"/>
      <c r="T107" s="14"/>
      <c r="U107" s="14"/>
      <c r="V107" s="14"/>
      <c r="W107" s="39">
        <f>IF(AND(L107="WIN",L108&lt;&gt;"WIN"),SUMIF(L$24:L107,"WIN",K$24:K107)-SUM(W$23:W106),"")</f>
        <v>156.37534935670101</v>
      </c>
      <c r="X107" s="41" t="str">
        <f>IF(AND(L107="LOSS",L108&lt;&gt;"LOSS"),SUMIF(L$24:L107,"LOSS",K$24:K107)-SUM(X$23:X106),"")</f>
        <v/>
      </c>
      <c r="Y107" s="8"/>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row>
    <row r="108" spans="1:53" ht="15.75">
      <c r="A108" s="149"/>
      <c r="B108" s="305" t="s">
        <v>152</v>
      </c>
      <c r="C108" s="306"/>
      <c r="D108" s="271">
        <v>87</v>
      </c>
      <c r="E108" s="272"/>
      <c r="F108" s="278">
        <f t="shared" si="17"/>
        <v>13187.65446241511</v>
      </c>
      <c r="G108" s="279"/>
      <c r="H108" s="275">
        <f t="shared" si="13"/>
        <v>131.87654462415111</v>
      </c>
      <c r="I108" s="276"/>
      <c r="J108" s="277"/>
      <c r="K108" s="75">
        <f t="shared" si="18"/>
        <v>-131.87654462415111</v>
      </c>
      <c r="L108" s="81" t="str">
        <f t="shared" si="14"/>
        <v>LOSS</v>
      </c>
      <c r="M108" s="242">
        <f>IF(COUNTA($F$6:$F$10)=5,(F109-F24)/F24,"")</f>
        <v>0.30557779177909594</v>
      </c>
      <c r="N108" s="238">
        <f t="shared" si="15"/>
        <v>1</v>
      </c>
      <c r="O108" s="14" t="str">
        <f t="shared" si="16"/>
        <v>last</v>
      </c>
      <c r="P108" s="14"/>
      <c r="Q108" s="14"/>
      <c r="R108" s="14"/>
      <c r="S108" s="14"/>
      <c r="T108" s="14"/>
      <c r="U108" s="14"/>
      <c r="V108" s="14"/>
      <c r="W108" s="39" t="str">
        <f>IF(AND(L108="WIN",L109&lt;&gt;"WIN"),SUMIF(L$24:L108,"WIN",K$24:K108)-SUM(W$23:W107),"")</f>
        <v/>
      </c>
      <c r="X108" s="41">
        <f>IF(AND(L108="LOSS",L109&lt;&gt;"LOSS"),SUMIF(L$24:L108,"LOSS",K$24:K108)-SUM(X$23:X107),"")</f>
        <v>-131.87654462415094</v>
      </c>
      <c r="Y108" s="8"/>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row>
    <row r="109" spans="1:53" ht="15.75">
      <c r="A109" s="149"/>
      <c r="B109" s="305" t="s">
        <v>153</v>
      </c>
      <c r="C109" s="306"/>
      <c r="D109" s="271">
        <v>7</v>
      </c>
      <c r="E109" s="272"/>
      <c r="F109" s="278">
        <f t="shared" si="17"/>
        <v>13055.77791779096</v>
      </c>
      <c r="G109" s="279"/>
      <c r="H109" s="275">
        <f t="shared" si="13"/>
        <v>130.55777917790959</v>
      </c>
      <c r="I109" s="276"/>
      <c r="J109" s="277"/>
      <c r="K109" s="75">
        <f t="shared" si="18"/>
        <v>156.66933501349152</v>
      </c>
      <c r="L109" s="81" t="str">
        <f t="shared" si="14"/>
        <v>WIN</v>
      </c>
      <c r="M109" s="242">
        <f>IF(COUNTA($F$6:$F$10)=5,(F110-F24)/F24,"")</f>
        <v>0.32124472528044518</v>
      </c>
      <c r="N109" s="238">
        <f t="shared" si="15"/>
        <v>1</v>
      </c>
      <c r="O109" s="14" t="str">
        <f t="shared" si="16"/>
        <v>new</v>
      </c>
      <c r="P109" s="14"/>
      <c r="Q109" s="14"/>
      <c r="R109" s="14"/>
      <c r="S109" s="14"/>
      <c r="T109" s="14"/>
      <c r="U109" s="14"/>
      <c r="V109" s="14"/>
      <c r="W109" s="39" t="str">
        <f>IF(AND(L109="WIN",L110&lt;&gt;"WIN"),SUMIF(L$24:L109,"WIN",K$24:K109)-SUM(W$23:W108),"")</f>
        <v/>
      </c>
      <c r="X109" s="41" t="str">
        <f>IF(AND(L109="LOSS",L110&lt;&gt;"LOSS"),SUMIF(L$24:L109,"LOSS",K$24:K109)-SUM(X$23:X108),"")</f>
        <v/>
      </c>
      <c r="Y109" s="8"/>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row>
    <row r="110" spans="1:53" ht="15.75">
      <c r="A110" s="149"/>
      <c r="B110" s="305" t="s">
        <v>154</v>
      </c>
      <c r="C110" s="306"/>
      <c r="D110" s="271">
        <v>30</v>
      </c>
      <c r="E110" s="272"/>
      <c r="F110" s="278">
        <f t="shared" si="17"/>
        <v>13212.447252804452</v>
      </c>
      <c r="G110" s="279"/>
      <c r="H110" s="275">
        <f t="shared" si="13"/>
        <v>132.12447252804452</v>
      </c>
      <c r="I110" s="276"/>
      <c r="J110" s="277"/>
      <c r="K110" s="75">
        <f t="shared" si="18"/>
        <v>158.54936703365343</v>
      </c>
      <c r="L110" s="81" t="str">
        <f t="shared" si="14"/>
        <v>WIN</v>
      </c>
      <c r="M110" s="242">
        <f>IF(COUNTA($F$6:$F$10)=5,(F111-F24)/F24,"")</f>
        <v>0.33709966198381042</v>
      </c>
      <c r="N110" s="238">
        <f t="shared" si="15"/>
        <v>2</v>
      </c>
      <c r="O110" s="14" t="str">
        <f t="shared" si="16"/>
        <v>last</v>
      </c>
      <c r="P110" s="14"/>
      <c r="Q110" s="14"/>
      <c r="R110" s="14"/>
      <c r="S110" s="14"/>
      <c r="T110" s="14"/>
      <c r="U110" s="14"/>
      <c r="V110" s="14"/>
      <c r="W110" s="39">
        <f>IF(AND(L110="WIN",L111&lt;&gt;"WIN"),SUMIF(L$24:L110,"WIN",K$24:K110)-SUM(W$23:W109),"")</f>
        <v>315.2187020471456</v>
      </c>
      <c r="X110" s="41" t="str">
        <f>IF(AND(L110="LOSS",L111&lt;&gt;"LOSS"),SUMIF(L$24:L110,"LOSS",K$24:K110)-SUM(X$23:X109),"")</f>
        <v/>
      </c>
      <c r="Y110" s="8"/>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row>
    <row r="111" spans="1:53" ht="15.75">
      <c r="A111" s="149"/>
      <c r="B111" s="305" t="s">
        <v>155</v>
      </c>
      <c r="C111" s="306"/>
      <c r="D111" s="271">
        <v>76</v>
      </c>
      <c r="E111" s="272"/>
      <c r="F111" s="278">
        <f t="shared" si="17"/>
        <v>13370.996619838104</v>
      </c>
      <c r="G111" s="279"/>
      <c r="H111" s="275">
        <f t="shared" si="13"/>
        <v>133.70996619838104</v>
      </c>
      <c r="I111" s="276"/>
      <c r="J111" s="277"/>
      <c r="K111" s="75">
        <f t="shared" si="18"/>
        <v>-133.70996619838104</v>
      </c>
      <c r="L111" s="81" t="str">
        <f t="shared" si="14"/>
        <v>LOSS</v>
      </c>
      <c r="M111" s="242">
        <f>IF(COUNTA($F$6:$F$10)=5,(F112-F24)/F24,"")</f>
        <v>0.32372866536397232</v>
      </c>
      <c r="N111" s="238">
        <f t="shared" si="15"/>
        <v>1</v>
      </c>
      <c r="O111" s="14" t="str">
        <f t="shared" si="16"/>
        <v>last</v>
      </c>
      <c r="P111" s="14"/>
      <c r="Q111" s="14"/>
      <c r="R111" s="14"/>
      <c r="S111" s="14"/>
      <c r="T111" s="14"/>
      <c r="U111" s="14"/>
      <c r="V111" s="14"/>
      <c r="W111" s="39" t="str">
        <f>IF(AND(L111="WIN",L112&lt;&gt;"WIN"),SUMIF(L$24:L111,"WIN",K$24:K111)-SUM(W$23:W110),"")</f>
        <v/>
      </c>
      <c r="X111" s="41">
        <f>IF(AND(L111="LOSS",L112&lt;&gt;"LOSS"),SUMIF(L$24:L111,"LOSS",K$24:K111)-SUM(X$23:X110),"")</f>
        <v>-133.7099661983807</v>
      </c>
      <c r="Y111" s="8"/>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row>
    <row r="112" spans="1:53" ht="15.75">
      <c r="A112" s="149"/>
      <c r="B112" s="305" t="s">
        <v>156</v>
      </c>
      <c r="C112" s="306"/>
      <c r="D112" s="271">
        <v>37</v>
      </c>
      <c r="E112" s="272"/>
      <c r="F112" s="278">
        <f t="shared" si="17"/>
        <v>13237.286653639723</v>
      </c>
      <c r="G112" s="279"/>
      <c r="H112" s="275">
        <f t="shared" si="13"/>
        <v>132.37286653639723</v>
      </c>
      <c r="I112" s="276"/>
      <c r="J112" s="277"/>
      <c r="K112" s="75">
        <f t="shared" si="18"/>
        <v>158.84743984367665</v>
      </c>
      <c r="L112" s="81" t="str">
        <f t="shared" si="14"/>
        <v>WIN</v>
      </c>
      <c r="M112" s="242">
        <f>IF(COUNTA($F$6:$F$10)=5,(F113-F24)/F24,"")</f>
        <v>0.33961340934834006</v>
      </c>
      <c r="N112" s="238">
        <f t="shared" si="15"/>
        <v>1</v>
      </c>
      <c r="O112" s="14" t="str">
        <f t="shared" si="16"/>
        <v>last</v>
      </c>
      <c r="P112" s="14"/>
      <c r="Q112" s="14"/>
      <c r="R112" s="14"/>
      <c r="S112" s="14"/>
      <c r="T112" s="14"/>
      <c r="U112" s="14"/>
      <c r="V112" s="14"/>
      <c r="W112" s="39">
        <f>IF(AND(L112="WIN",L113&lt;&gt;"WIN"),SUMIF(L$24:L112,"WIN",K$24:K112)-SUM(W$23:W111),"")</f>
        <v>158.84743984367651</v>
      </c>
      <c r="X112" s="41" t="str">
        <f>IF(AND(L112="LOSS",L113&lt;&gt;"LOSS"),SUMIF(L$24:L112,"LOSS",K$24:K112)-SUM(X$23:X111),"")</f>
        <v/>
      </c>
      <c r="Y112" s="8"/>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row>
    <row r="113" spans="1:53" ht="15.75">
      <c r="A113" s="149"/>
      <c r="B113" s="305" t="s">
        <v>157</v>
      </c>
      <c r="C113" s="306"/>
      <c r="D113" s="271">
        <v>72</v>
      </c>
      <c r="E113" s="272"/>
      <c r="F113" s="278">
        <f t="shared" si="17"/>
        <v>13396.134093483401</v>
      </c>
      <c r="G113" s="279"/>
      <c r="H113" s="275">
        <f t="shared" si="13"/>
        <v>133.961340934834</v>
      </c>
      <c r="I113" s="276"/>
      <c r="J113" s="277"/>
      <c r="K113" s="75">
        <f t="shared" si="18"/>
        <v>-133.961340934834</v>
      </c>
      <c r="L113" s="81" t="str">
        <f t="shared" si="14"/>
        <v>LOSS</v>
      </c>
      <c r="M113" s="242">
        <f>IF(COUNTA($F$6:$F$10)=5,(F114-F24)/F24,"")</f>
        <v>0.32621727525485655</v>
      </c>
      <c r="N113" s="238">
        <f t="shared" si="15"/>
        <v>1</v>
      </c>
      <c r="O113" s="14" t="str">
        <f t="shared" si="16"/>
        <v>last</v>
      </c>
      <c r="P113" s="14"/>
      <c r="Q113" s="14"/>
      <c r="R113" s="14"/>
      <c r="S113" s="14"/>
      <c r="T113" s="14"/>
      <c r="U113" s="14"/>
      <c r="V113" s="14"/>
      <c r="W113" s="39" t="str">
        <f>IF(AND(L113="WIN",L114&lt;&gt;"WIN"),SUMIF(L$24:L113,"WIN",K$24:K113)-SUM(W$23:W112),"")</f>
        <v/>
      </c>
      <c r="X113" s="41">
        <f>IF(AND(L113="LOSS",L114&lt;&gt;"LOSS"),SUMIF(L$24:L113,"LOSS",K$24:K113)-SUM(X$23:X112),"")</f>
        <v>-133.96134093483397</v>
      </c>
      <c r="Y113" s="8"/>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row>
    <row r="114" spans="1:53" ht="15.75">
      <c r="A114" s="149"/>
      <c r="B114" s="305" t="s">
        <v>158</v>
      </c>
      <c r="C114" s="306"/>
      <c r="D114" s="271">
        <v>9</v>
      </c>
      <c r="E114" s="272"/>
      <c r="F114" s="278">
        <f t="shared" si="17"/>
        <v>13262.172752548566</v>
      </c>
      <c r="G114" s="279"/>
      <c r="H114" s="275">
        <f t="shared" si="13"/>
        <v>132.62172752548565</v>
      </c>
      <c r="I114" s="276"/>
      <c r="J114" s="277"/>
      <c r="K114" s="75">
        <f t="shared" si="18"/>
        <v>159.14607303058278</v>
      </c>
      <c r="L114" s="81" t="str">
        <f t="shared" si="14"/>
        <v>WIN</v>
      </c>
      <c r="M114" s="242">
        <f>IF(COUNTA($F$6:$F$10)=5,(F115-F24)/F24,"")</f>
        <v>0.34213188255791482</v>
      </c>
      <c r="N114" s="238">
        <f t="shared" si="15"/>
        <v>1</v>
      </c>
      <c r="O114" s="14" t="str">
        <f t="shared" si="16"/>
        <v>last</v>
      </c>
      <c r="P114" s="14"/>
      <c r="Q114" s="14"/>
      <c r="R114" s="14"/>
      <c r="S114" s="14"/>
      <c r="T114" s="14"/>
      <c r="U114" s="14"/>
      <c r="V114" s="14"/>
      <c r="W114" s="39">
        <f>IF(AND(L114="WIN",L115&lt;&gt;"WIN"),SUMIF(L$24:L114,"WIN",K$24:K114)-SUM(W$23:W113),"")</f>
        <v>159.14607303058256</v>
      </c>
      <c r="X114" s="41" t="str">
        <f>IF(AND(L114="LOSS",L115&lt;&gt;"LOSS"),SUMIF(L$24:L114,"LOSS",K$24:K114)-SUM(X$23:X113),"")</f>
        <v/>
      </c>
      <c r="Y114" s="8"/>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row>
    <row r="115" spans="1:53" ht="15.75">
      <c r="A115" s="149"/>
      <c r="B115" s="305" t="s">
        <v>159</v>
      </c>
      <c r="C115" s="306"/>
      <c r="D115" s="271">
        <v>74</v>
      </c>
      <c r="E115" s="272"/>
      <c r="F115" s="278">
        <f t="shared" si="17"/>
        <v>13421.318825579148</v>
      </c>
      <c r="G115" s="279"/>
      <c r="H115" s="275">
        <f t="shared" si="13"/>
        <v>134.21318825579149</v>
      </c>
      <c r="I115" s="276"/>
      <c r="J115" s="277"/>
      <c r="K115" s="75">
        <f t="shared" si="18"/>
        <v>-134.21318825579149</v>
      </c>
      <c r="L115" s="81" t="str">
        <f t="shared" si="14"/>
        <v>LOSS</v>
      </c>
      <c r="M115" s="242">
        <f>IF(COUNTA($F$6:$F$10)=5,(F116-F24)/F24,"")</f>
        <v>0.3287105637323357</v>
      </c>
      <c r="N115" s="238">
        <f t="shared" si="15"/>
        <v>1</v>
      </c>
      <c r="O115" s="14" t="str">
        <f t="shared" si="16"/>
        <v>last</v>
      </c>
      <c r="P115" s="14"/>
      <c r="Q115" s="14"/>
      <c r="R115" s="14"/>
      <c r="S115" s="14"/>
      <c r="T115" s="14"/>
      <c r="U115" s="14"/>
      <c r="V115" s="14"/>
      <c r="W115" s="39" t="str">
        <f>IF(AND(L115="WIN",L116&lt;&gt;"WIN"),SUMIF(L$24:L115,"WIN",K$24:K115)-SUM(W$23:W114),"")</f>
        <v/>
      </c>
      <c r="X115" s="41">
        <f>IF(AND(L115="LOSS",L116&lt;&gt;"LOSS"),SUMIF(L$24:L115,"LOSS",K$24:K115)-SUM(X$23:X114),"")</f>
        <v>-134.21318825579147</v>
      </c>
      <c r="Y115" s="8"/>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row>
    <row r="116" spans="1:53" ht="15.75">
      <c r="A116" s="149"/>
      <c r="B116" s="305" t="s">
        <v>160</v>
      </c>
      <c r="C116" s="306"/>
      <c r="D116" s="271">
        <v>35</v>
      </c>
      <c r="E116" s="272"/>
      <c r="F116" s="278">
        <f t="shared" si="17"/>
        <v>13287.105637323357</v>
      </c>
      <c r="G116" s="279"/>
      <c r="H116" s="275">
        <f t="shared" si="13"/>
        <v>132.87105637323356</v>
      </c>
      <c r="I116" s="276"/>
      <c r="J116" s="277"/>
      <c r="K116" s="75">
        <f t="shared" si="18"/>
        <v>159.44526764788026</v>
      </c>
      <c r="L116" s="81" t="str">
        <f t="shared" si="14"/>
        <v>WIN</v>
      </c>
      <c r="M116" s="242">
        <f>IF(COUNTA($F$6:$F$10)=5,(F117-F24)/F24,"")</f>
        <v>0.34465509049712362</v>
      </c>
      <c r="N116" s="238">
        <f t="shared" si="15"/>
        <v>1</v>
      </c>
      <c r="O116" s="14" t="str">
        <f t="shared" si="16"/>
        <v>new</v>
      </c>
      <c r="P116" s="14"/>
      <c r="Q116" s="14"/>
      <c r="R116" s="14"/>
      <c r="S116" s="14"/>
      <c r="T116" s="14"/>
      <c r="U116" s="14"/>
      <c r="V116" s="14"/>
      <c r="W116" s="39" t="str">
        <f>IF(AND(L116="WIN",L117&lt;&gt;"WIN"),SUMIF(L$24:L116,"WIN",K$24:K116)-SUM(W$23:W115),"")</f>
        <v/>
      </c>
      <c r="X116" s="41" t="str">
        <f>IF(AND(L116="LOSS",L117&lt;&gt;"LOSS"),SUMIF(L$24:L116,"LOSS",K$24:K116)-SUM(X$23:X115),"")</f>
        <v/>
      </c>
      <c r="Y116" s="8"/>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row>
    <row r="117" spans="1:53" ht="15.75">
      <c r="A117" s="149"/>
      <c r="B117" s="305" t="s">
        <v>161</v>
      </c>
      <c r="C117" s="306"/>
      <c r="D117" s="271">
        <v>18</v>
      </c>
      <c r="E117" s="272"/>
      <c r="F117" s="278">
        <f t="shared" si="17"/>
        <v>13446.550904971236</v>
      </c>
      <c r="G117" s="279"/>
      <c r="H117" s="275">
        <f t="shared" si="13"/>
        <v>134.46550904971235</v>
      </c>
      <c r="I117" s="276"/>
      <c r="J117" s="277"/>
      <c r="K117" s="75">
        <f t="shared" si="18"/>
        <v>161.35861085965482</v>
      </c>
      <c r="L117" s="81" t="str">
        <f t="shared" si="14"/>
        <v>WIN</v>
      </c>
      <c r="M117" s="242">
        <f>IF(COUNTA($F$6:$F$10)=5,(F118-F24)/F24,"")</f>
        <v>0.36079095158308921</v>
      </c>
      <c r="N117" s="238">
        <f t="shared" si="15"/>
        <v>2</v>
      </c>
      <c r="O117" s="14" t="str">
        <f t="shared" si="16"/>
        <v>last</v>
      </c>
      <c r="P117" s="14"/>
      <c r="Q117" s="14"/>
      <c r="R117" s="14"/>
      <c r="S117" s="14"/>
      <c r="T117" s="14"/>
      <c r="U117" s="14"/>
      <c r="V117" s="14"/>
      <c r="W117" s="39">
        <f>IF(AND(L117="WIN",L118&lt;&gt;"WIN"),SUMIF(L$24:L117,"WIN",K$24:K117)-SUM(W$23:W116),"")</f>
        <v>320.80387850753505</v>
      </c>
      <c r="X117" s="41" t="str">
        <f>IF(AND(L117="LOSS",L118&lt;&gt;"LOSS"),SUMIF(L$24:L117,"LOSS",K$24:K117)-SUM(X$23:X116),"")</f>
        <v/>
      </c>
      <c r="Y117" s="8"/>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row>
    <row r="118" spans="1:53" ht="15.75">
      <c r="A118" s="149"/>
      <c r="B118" s="305" t="s">
        <v>162</v>
      </c>
      <c r="C118" s="306"/>
      <c r="D118" s="271">
        <v>61</v>
      </c>
      <c r="E118" s="272"/>
      <c r="F118" s="278">
        <f t="shared" si="17"/>
        <v>13607.909515830892</v>
      </c>
      <c r="G118" s="279"/>
      <c r="H118" s="275">
        <f t="shared" si="13"/>
        <v>136.07909515830892</v>
      </c>
      <c r="I118" s="276"/>
      <c r="J118" s="277"/>
      <c r="K118" s="75">
        <f t="shared" si="18"/>
        <v>-136.07909515830892</v>
      </c>
      <c r="L118" s="81" t="str">
        <f t="shared" si="14"/>
        <v>LOSS</v>
      </c>
      <c r="M118" s="242">
        <f>IF(COUNTA($F$6:$F$10)=5,(F119-F24)/F24,"")</f>
        <v>0.34718304206725825</v>
      </c>
      <c r="N118" s="238">
        <f t="shared" si="15"/>
        <v>1</v>
      </c>
      <c r="O118" s="14" t="str">
        <f t="shared" si="16"/>
        <v>last</v>
      </c>
      <c r="P118" s="14"/>
      <c r="Q118" s="14"/>
      <c r="R118" s="14"/>
      <c r="S118" s="14"/>
      <c r="T118" s="14"/>
      <c r="U118" s="14"/>
      <c r="V118" s="14"/>
      <c r="W118" s="39" t="str">
        <f>IF(AND(L118="WIN",L119&lt;&gt;"WIN"),SUMIF(L$24:L118,"WIN",K$24:K118)-SUM(W$23:W117),"")</f>
        <v/>
      </c>
      <c r="X118" s="41">
        <f>IF(AND(L118="LOSS",L119&lt;&gt;"LOSS"),SUMIF(L$24:L118,"LOSS",K$24:K118)-SUM(X$23:X117),"")</f>
        <v>-136.07909515830852</v>
      </c>
      <c r="Y118" s="8"/>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row>
    <row r="119" spans="1:53" ht="15.75">
      <c r="A119" s="149"/>
      <c r="B119" s="305" t="s">
        <v>163</v>
      </c>
      <c r="C119" s="306"/>
      <c r="D119" s="271">
        <v>22</v>
      </c>
      <c r="E119" s="272"/>
      <c r="F119" s="278">
        <f t="shared" si="17"/>
        <v>13471.830420672582</v>
      </c>
      <c r="G119" s="279"/>
      <c r="H119" s="275">
        <f t="shared" si="13"/>
        <v>134.71830420672583</v>
      </c>
      <c r="I119" s="276"/>
      <c r="J119" s="277"/>
      <c r="K119" s="75">
        <f t="shared" si="18"/>
        <v>161.66196504807098</v>
      </c>
      <c r="L119" s="81" t="str">
        <f t="shared" si="14"/>
        <v>WIN</v>
      </c>
      <c r="M119" s="242">
        <f>IF(COUNTA($F$6:$F$10)=5,(F120-F24)/F24,"")</f>
        <v>0.36334923857206541</v>
      </c>
      <c r="N119" s="238">
        <f t="shared" si="15"/>
        <v>1</v>
      </c>
      <c r="O119" s="14" t="str">
        <f t="shared" si="16"/>
        <v>last</v>
      </c>
      <c r="P119" s="14"/>
      <c r="Q119" s="14"/>
      <c r="R119" s="14"/>
      <c r="S119" s="14"/>
      <c r="T119" s="14"/>
      <c r="U119" s="14"/>
      <c r="V119" s="14"/>
      <c r="W119" s="39">
        <f>IF(AND(L119="WIN",L120&lt;&gt;"WIN"),SUMIF(L$24:L119,"WIN",K$24:K119)-SUM(W$23:W118),"")</f>
        <v>161.66196504807067</v>
      </c>
      <c r="X119" s="41" t="str">
        <f>IF(AND(L119="LOSS",L120&lt;&gt;"LOSS"),SUMIF(L$24:L119,"LOSS",K$24:K119)-SUM(X$23:X118),"")</f>
        <v/>
      </c>
      <c r="Y119" s="8"/>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row>
    <row r="120" spans="1:53" ht="15.75">
      <c r="A120" s="149"/>
      <c r="B120" s="305" t="s">
        <v>164</v>
      </c>
      <c r="C120" s="306"/>
      <c r="D120" s="271">
        <v>59</v>
      </c>
      <c r="E120" s="272"/>
      <c r="F120" s="278">
        <f t="shared" si="17"/>
        <v>13633.492385720654</v>
      </c>
      <c r="G120" s="279"/>
      <c r="H120" s="275">
        <f t="shared" si="13"/>
        <v>136.33492385720655</v>
      </c>
      <c r="I120" s="276"/>
      <c r="J120" s="277"/>
      <c r="K120" s="75">
        <f t="shared" si="18"/>
        <v>-136.33492385720655</v>
      </c>
      <c r="L120" s="81" t="str">
        <f t="shared" si="14"/>
        <v>LOSS</v>
      </c>
      <c r="M120" s="242">
        <f>IF(COUNTA($F$6:$F$10)=5,(F121-F24)/F24,"")</f>
        <v>0.34971574618634477</v>
      </c>
      <c r="N120" s="238">
        <f t="shared" si="15"/>
        <v>1</v>
      </c>
      <c r="O120" s="14" t="str">
        <f t="shared" si="16"/>
        <v>new</v>
      </c>
      <c r="P120" s="14"/>
      <c r="Q120" s="14"/>
      <c r="R120" s="14"/>
      <c r="S120" s="14"/>
      <c r="T120" s="14"/>
      <c r="U120" s="14"/>
      <c r="V120" s="14"/>
      <c r="W120" s="39" t="str">
        <f>IF(AND(L120="WIN",L121&lt;&gt;"WIN"),SUMIF(L$24:L120,"WIN",K$24:K120)-SUM(W$23:W119),"")</f>
        <v/>
      </c>
      <c r="X120" s="41" t="str">
        <f>IF(AND(L120="LOSS",L121&lt;&gt;"LOSS"),SUMIF(L$24:L120,"LOSS",K$24:K120)-SUM(X$23:X119),"")</f>
        <v/>
      </c>
      <c r="Y120" s="8"/>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row>
    <row r="121" spans="1:53" ht="15.75">
      <c r="A121" s="149"/>
      <c r="B121" s="305" t="s">
        <v>165</v>
      </c>
      <c r="C121" s="306"/>
      <c r="D121" s="271">
        <v>87</v>
      </c>
      <c r="E121" s="272"/>
      <c r="F121" s="278">
        <f t="shared" si="17"/>
        <v>13497.157461863448</v>
      </c>
      <c r="G121" s="279"/>
      <c r="H121" s="275">
        <f t="shared" si="13"/>
        <v>134.97157461863449</v>
      </c>
      <c r="I121" s="276"/>
      <c r="J121" s="277"/>
      <c r="K121" s="75">
        <f t="shared" si="18"/>
        <v>-134.97157461863449</v>
      </c>
      <c r="L121" s="81" t="str">
        <f t="shared" si="14"/>
        <v>LOSS</v>
      </c>
      <c r="M121" s="242">
        <f>IF(COUNTA($F$6:$F$10)=5,(F122-F24)/F24,"")</f>
        <v>0.3362185887244814</v>
      </c>
      <c r="N121" s="238">
        <f t="shared" si="15"/>
        <v>2</v>
      </c>
      <c r="O121" s="14" t="str">
        <f t="shared" si="16"/>
        <v>middle</v>
      </c>
      <c r="P121" s="14"/>
      <c r="Q121" s="14"/>
      <c r="R121" s="14"/>
      <c r="S121" s="14"/>
      <c r="T121" s="14"/>
      <c r="U121" s="14"/>
      <c r="V121" s="14"/>
      <c r="W121" s="39" t="str">
        <f>IF(AND(L121="WIN",L122&lt;&gt;"WIN"),SUMIF(L$24:L121,"WIN",K$24:K121)-SUM(W$23:W120),"")</f>
        <v/>
      </c>
      <c r="X121" s="41" t="str">
        <f>IF(AND(L121="LOSS",L122&lt;&gt;"LOSS"),SUMIF(L$24:L121,"LOSS",K$24:K121)-SUM(X$23:X120),"")</f>
        <v/>
      </c>
      <c r="Y121" s="8"/>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row>
    <row r="122" spans="1:53" ht="16.5" thickBot="1">
      <c r="A122" s="149"/>
      <c r="B122" s="400" t="s">
        <v>166</v>
      </c>
      <c r="C122" s="401"/>
      <c r="D122" s="415">
        <v>79</v>
      </c>
      <c r="E122" s="416"/>
      <c r="F122" s="469">
        <f t="shared" si="17"/>
        <v>13362.185887244814</v>
      </c>
      <c r="G122" s="470"/>
      <c r="H122" s="390">
        <f t="shared" si="13"/>
        <v>133.62185887244814</v>
      </c>
      <c r="I122" s="391"/>
      <c r="J122" s="392"/>
      <c r="K122" s="76">
        <f t="shared" si="18"/>
        <v>-133.62185887244814</v>
      </c>
      <c r="L122" s="82" t="str">
        <f t="shared" si="14"/>
        <v>LOSS</v>
      </c>
      <c r="M122" s="243">
        <f>IF(COUNTA($F$6:$F$10)=5,(F123-F24)/F24,"")</f>
        <v>0.3228564028372366</v>
      </c>
      <c r="N122" s="238">
        <f t="shared" si="15"/>
        <v>3</v>
      </c>
      <c r="O122" s="14" t="str">
        <f t="shared" si="16"/>
        <v>last</v>
      </c>
      <c r="P122" s="14"/>
      <c r="Q122" s="14"/>
      <c r="R122" s="14"/>
      <c r="S122" s="14"/>
      <c r="T122" s="14"/>
      <c r="U122" s="14"/>
      <c r="V122" s="14"/>
      <c r="W122" s="39" t="str">
        <f>IF(AND(L122="WIN",L123&lt;&gt;"WIN"),SUMIF(L$24:L122,"WIN",K$24:K122)-SUM(W$23:W121),"")</f>
        <v/>
      </c>
      <c r="X122" s="41">
        <f>IF(AND(L122="LOSS",L123&lt;&gt;"LOSS"),SUMIF(L$24:L122,"LOSS",K$24:K122)-SUM(X$23:X121),"")</f>
        <v>-404.92835734828896</v>
      </c>
      <c r="Y122" s="8"/>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row>
    <row r="123" spans="1:53" ht="17.25" thickTop="1" thickBot="1">
      <c r="A123" s="149"/>
      <c r="B123" s="406" t="s">
        <v>167</v>
      </c>
      <c r="C123" s="407"/>
      <c r="D123" s="417">
        <v>1</v>
      </c>
      <c r="E123" s="418"/>
      <c r="F123" s="471">
        <f t="shared" si="17"/>
        <v>13228.564028372366</v>
      </c>
      <c r="G123" s="472"/>
      <c r="H123" s="426">
        <f t="shared" si="13"/>
        <v>132.28564028372367</v>
      </c>
      <c r="I123" s="427"/>
      <c r="J123" s="428"/>
      <c r="K123" s="84">
        <f t="shared" si="18"/>
        <v>158.74276834046839</v>
      </c>
      <c r="L123" s="78" t="str">
        <f t="shared" si="14"/>
        <v>WIN</v>
      </c>
      <c r="M123" s="244">
        <f>IF(COUNTA($F$6:$F$10)=5,(F124-F24)/F24,"")</f>
        <v>0.33873067967128356</v>
      </c>
      <c r="N123" s="238">
        <f t="shared" si="15"/>
        <v>1</v>
      </c>
      <c r="O123" s="14" t="str">
        <f t="shared" si="16"/>
        <v>last</v>
      </c>
      <c r="P123" s="14"/>
      <c r="Q123" s="14"/>
      <c r="R123" s="14"/>
      <c r="S123" s="14"/>
      <c r="T123" s="14"/>
      <c r="U123" s="14"/>
      <c r="V123" s="14"/>
      <c r="W123" s="39">
        <f>IF(AND(L123="WIN",L124&lt;&gt;"WIN"),SUMIF(L$24:L123,"WIN",K$24:K123)-SUM(W$23:W122),"")</f>
        <v>158.74276834046759</v>
      </c>
      <c r="X123" s="41" t="str">
        <f>IF(AND(L123="LOSS",L124&lt;&gt;"LOSS"),SUMIF(L$24:L123,"LOSS",K$24:K123)-SUM(X$23:X122),"")</f>
        <v/>
      </c>
      <c r="Y123" s="8"/>
      <c r="Z123" s="197"/>
      <c r="AA123" s="197"/>
      <c r="AB123" s="197"/>
      <c r="AC123" s="197"/>
      <c r="AD123" s="197"/>
      <c r="AE123" s="197"/>
      <c r="AF123" s="197"/>
      <c r="AG123" s="197"/>
      <c r="AH123" s="197"/>
      <c r="AI123" s="197"/>
      <c r="AJ123" s="197"/>
      <c r="AK123" s="197"/>
      <c r="AL123" s="197"/>
      <c r="AM123" s="197"/>
      <c r="AN123" s="193"/>
      <c r="AO123" s="85"/>
      <c r="AP123" s="85"/>
      <c r="AQ123" s="85"/>
      <c r="AR123" s="85"/>
      <c r="AS123" s="85"/>
      <c r="AT123" s="85"/>
      <c r="AU123" s="85"/>
      <c r="AV123" s="85"/>
      <c r="AW123" s="85"/>
      <c r="AX123" s="85"/>
      <c r="AY123" s="85"/>
      <c r="AZ123" s="85"/>
      <c r="BA123" s="85"/>
    </row>
    <row r="124" spans="1:53" ht="16.5" thickTop="1">
      <c r="A124" s="149"/>
      <c r="B124" s="408" t="s">
        <v>168</v>
      </c>
      <c r="C124" s="409"/>
      <c r="D124" s="419">
        <v>74</v>
      </c>
      <c r="E124" s="420"/>
      <c r="F124" s="473">
        <f t="shared" si="17"/>
        <v>13387.306796712835</v>
      </c>
      <c r="G124" s="474"/>
      <c r="H124" s="429">
        <f t="shared" si="13"/>
        <v>133.87306796712835</v>
      </c>
      <c r="I124" s="430"/>
      <c r="J124" s="431"/>
      <c r="K124" s="77">
        <f t="shared" si="18"/>
        <v>-133.87306796712835</v>
      </c>
      <c r="L124" s="81" t="str">
        <f t="shared" si="14"/>
        <v>LOSS</v>
      </c>
      <c r="M124" s="242">
        <f>IF(COUNTA($F$6:$F$10)=5,(F125-F24)/F24,"")</f>
        <v>0.32534337287457077</v>
      </c>
      <c r="N124" s="238">
        <f t="shared" si="15"/>
        <v>1</v>
      </c>
      <c r="O124" s="14" t="str">
        <f t="shared" si="16"/>
        <v>last</v>
      </c>
      <c r="P124" s="14"/>
      <c r="Q124" s="14"/>
      <c r="R124" s="14"/>
      <c r="S124" s="14"/>
      <c r="T124" s="14"/>
      <c r="U124" s="14"/>
      <c r="V124" s="14"/>
      <c r="W124" s="39" t="str">
        <f>IF(AND(L124="WIN",L125&lt;&gt;"WIN"),SUMIF(L$24:L124,"WIN",K$24:K124)-SUM(W$23:W123),"")</f>
        <v/>
      </c>
      <c r="X124" s="41">
        <f>IF(AND(L124="LOSS",L125&lt;&gt;"LOSS"),SUMIF(L$24:L124,"LOSS",K$24:K124)-SUM(X$23:X123),"")</f>
        <v>-133.87306796712801</v>
      </c>
      <c r="Y124" s="8"/>
      <c r="Z124" s="194"/>
      <c r="AA124" s="194"/>
      <c r="AB124" s="194"/>
      <c r="AC124" s="194"/>
      <c r="AD124" s="194"/>
      <c r="AE124" s="194"/>
      <c r="AF124" s="194"/>
      <c r="AG124" s="194"/>
      <c r="AH124" s="194"/>
      <c r="AI124" s="194"/>
      <c r="AJ124" s="194"/>
      <c r="AK124" s="194"/>
      <c r="AL124" s="194"/>
      <c r="AM124" s="194"/>
      <c r="AN124" s="194"/>
      <c r="AO124" s="85"/>
      <c r="AP124" s="85"/>
      <c r="AQ124" s="85"/>
      <c r="AR124" s="85"/>
      <c r="AS124" s="85"/>
      <c r="AT124" s="85"/>
      <c r="AU124" s="85"/>
      <c r="AV124" s="85"/>
      <c r="AW124" s="85"/>
      <c r="AX124" s="85"/>
      <c r="AY124" s="85"/>
      <c r="AZ124" s="85"/>
      <c r="BA124" s="85"/>
    </row>
    <row r="125" spans="1:53" ht="15.75">
      <c r="A125" s="149"/>
      <c r="B125" s="305" t="s">
        <v>169</v>
      </c>
      <c r="C125" s="306"/>
      <c r="D125" s="271">
        <v>32</v>
      </c>
      <c r="E125" s="272"/>
      <c r="F125" s="278">
        <f t="shared" si="17"/>
        <v>13253.433728745707</v>
      </c>
      <c r="G125" s="279"/>
      <c r="H125" s="275">
        <f t="shared" si="13"/>
        <v>132.53433728745708</v>
      </c>
      <c r="I125" s="276"/>
      <c r="J125" s="277"/>
      <c r="K125" s="75">
        <f t="shared" si="18"/>
        <v>159.04120474494849</v>
      </c>
      <c r="L125" s="81" t="str">
        <f t="shared" si="14"/>
        <v>WIN</v>
      </c>
      <c r="M125" s="242">
        <f>IF(COUNTA($F$6:$F$10)=5,(F126-F24)/F24,"")</f>
        <v>0.34124749334906557</v>
      </c>
      <c r="N125" s="238">
        <f t="shared" si="15"/>
        <v>1</v>
      </c>
      <c r="O125" s="14" t="str">
        <f t="shared" si="16"/>
        <v>new</v>
      </c>
      <c r="P125" s="14"/>
      <c r="Q125" s="14"/>
      <c r="R125" s="14"/>
      <c r="S125" s="14"/>
      <c r="T125" s="14"/>
      <c r="U125" s="14"/>
      <c r="V125" s="14"/>
      <c r="W125" s="39" t="str">
        <f>IF(AND(L125="WIN",L126&lt;&gt;"WIN"),SUMIF(L$24:L125,"WIN",K$24:K125)-SUM(W$23:W124),"")</f>
        <v/>
      </c>
      <c r="X125" s="41" t="str">
        <f>IF(AND(L125="LOSS",L126&lt;&gt;"LOSS"),SUMIF(L$24:L125,"LOSS",K$24:K125)-SUM(X$23:X124),"")</f>
        <v/>
      </c>
      <c r="Y125" s="8"/>
      <c r="Z125" s="194"/>
      <c r="AA125" s="194"/>
      <c r="AB125" s="194"/>
      <c r="AC125" s="194"/>
      <c r="AD125" s="194"/>
      <c r="AE125" s="194"/>
      <c r="AF125" s="194"/>
      <c r="AG125" s="194"/>
      <c r="AH125" s="194"/>
      <c r="AI125" s="194"/>
      <c r="AJ125" s="194"/>
      <c r="AK125" s="194"/>
      <c r="AL125" s="194"/>
      <c r="AM125" s="194"/>
      <c r="AN125" s="194"/>
      <c r="AO125" s="85"/>
      <c r="AP125" s="85"/>
      <c r="AQ125" s="85"/>
      <c r="AR125" s="85"/>
      <c r="AS125" s="85"/>
      <c r="AT125" s="85"/>
      <c r="AU125" s="85"/>
      <c r="AV125" s="85"/>
      <c r="AW125" s="85"/>
      <c r="AX125" s="85"/>
      <c r="AY125" s="85"/>
      <c r="AZ125" s="85"/>
      <c r="BA125" s="85"/>
    </row>
    <row r="126" spans="1:53" ht="15.75">
      <c r="A126" s="149"/>
      <c r="B126" s="305" t="s">
        <v>170</v>
      </c>
      <c r="C126" s="306"/>
      <c r="D126" s="271">
        <v>2</v>
      </c>
      <c r="E126" s="272"/>
      <c r="F126" s="278">
        <f t="shared" si="17"/>
        <v>13412.474933490656</v>
      </c>
      <c r="G126" s="279"/>
      <c r="H126" s="275">
        <f t="shared" si="13"/>
        <v>134.12474933490657</v>
      </c>
      <c r="I126" s="276"/>
      <c r="J126" s="277"/>
      <c r="K126" s="75">
        <f t="shared" si="18"/>
        <v>160.94969920188788</v>
      </c>
      <c r="L126" s="81" t="str">
        <f t="shared" si="14"/>
        <v>WIN</v>
      </c>
      <c r="M126" s="242">
        <f>IF(COUNTA($F$6:$F$10)=5,(F127-F24)/F24,"")</f>
        <v>0.3573424632692544</v>
      </c>
      <c r="N126" s="238">
        <f t="shared" si="15"/>
        <v>2</v>
      </c>
      <c r="O126" s="14" t="str">
        <f t="shared" si="16"/>
        <v>middle</v>
      </c>
      <c r="P126" s="14"/>
      <c r="Q126" s="14"/>
      <c r="R126" s="14"/>
      <c r="S126" s="14"/>
      <c r="T126" s="14"/>
      <c r="U126" s="14"/>
      <c r="V126" s="14"/>
      <c r="W126" s="39" t="str">
        <f>IF(AND(L126="WIN",L127&lt;&gt;"WIN"),SUMIF(L$24:L126,"WIN",K$24:K126)-SUM(W$23:W125),"")</f>
        <v/>
      </c>
      <c r="X126" s="41" t="str">
        <f>IF(AND(L126="LOSS",L127&lt;&gt;"LOSS"),SUMIF(L$24:L126,"LOSS",K$24:K126)-SUM(X$23:X125),"")</f>
        <v/>
      </c>
      <c r="Y126" s="8"/>
      <c r="Z126" s="198"/>
      <c r="AA126" s="198"/>
      <c r="AB126" s="198"/>
      <c r="AC126" s="198"/>
      <c r="AD126" s="198"/>
      <c r="AE126" s="198"/>
      <c r="AF126" s="198"/>
      <c r="AG126" s="198"/>
      <c r="AH126" s="49"/>
      <c r="AI126" s="49"/>
      <c r="AJ126" s="49"/>
      <c r="AK126" s="49"/>
      <c r="AL126" s="50"/>
      <c r="AM126" s="50"/>
      <c r="AN126" s="28"/>
      <c r="AO126" s="85"/>
      <c r="AP126" s="85"/>
      <c r="AQ126" s="85"/>
      <c r="AR126" s="85"/>
      <c r="AS126" s="85"/>
      <c r="AT126" s="85"/>
      <c r="AU126" s="85"/>
      <c r="AV126" s="85"/>
      <c r="AW126" s="85"/>
      <c r="AX126" s="85"/>
      <c r="AY126" s="85"/>
      <c r="AZ126" s="85"/>
      <c r="BA126" s="85"/>
    </row>
    <row r="127" spans="1:53" ht="15.75">
      <c r="A127" s="149"/>
      <c r="B127" s="305" t="s">
        <v>171</v>
      </c>
      <c r="C127" s="306"/>
      <c r="D127" s="271">
        <v>13</v>
      </c>
      <c r="E127" s="272"/>
      <c r="F127" s="278">
        <f t="shared" si="17"/>
        <v>13573.424632692544</v>
      </c>
      <c r="G127" s="279"/>
      <c r="H127" s="275">
        <f t="shared" si="13"/>
        <v>135.73424632692544</v>
      </c>
      <c r="I127" s="276"/>
      <c r="J127" s="277"/>
      <c r="K127" s="75">
        <f t="shared" si="18"/>
        <v>162.88109559231052</v>
      </c>
      <c r="L127" s="81" t="str">
        <f t="shared" si="14"/>
        <v>WIN</v>
      </c>
      <c r="M127" s="242">
        <f>IF(COUNTA($F$6:$F$10)=5,(F128-F24)/F24,"")</f>
        <v>0.3736305728284855</v>
      </c>
      <c r="N127" s="238">
        <f t="shared" si="15"/>
        <v>3</v>
      </c>
      <c r="O127" s="14" t="str">
        <f t="shared" si="16"/>
        <v>middle</v>
      </c>
      <c r="P127" s="14"/>
      <c r="Q127" s="14"/>
      <c r="R127" s="14"/>
      <c r="S127" s="14"/>
      <c r="T127" s="14"/>
      <c r="U127" s="14"/>
      <c r="V127" s="14"/>
      <c r="W127" s="39" t="str">
        <f>IF(AND(L127="WIN",L128&lt;&gt;"WIN"),SUMIF(L$24:L127,"WIN",K$24:K127)-SUM(W$23:W126),"")</f>
        <v/>
      </c>
      <c r="X127" s="41" t="str">
        <f>IF(AND(L127="LOSS",L128&lt;&gt;"LOSS"),SUMIF(L$24:L127,"LOSS",K$24:K127)-SUM(X$23:X126),"")</f>
        <v/>
      </c>
      <c r="Y127" s="8"/>
      <c r="Z127" s="199"/>
      <c r="AA127" s="199"/>
      <c r="AB127" s="199"/>
      <c r="AC127" s="199"/>
      <c r="AD127" s="199"/>
      <c r="AE127" s="199"/>
      <c r="AF127" s="199"/>
      <c r="AG127" s="199"/>
      <c r="AH127" s="199"/>
      <c r="AI127" s="199"/>
      <c r="AJ127" s="199"/>
      <c r="AK127" s="199"/>
      <c r="AL127" s="199"/>
      <c r="AM127" s="199"/>
      <c r="AN127" s="196"/>
      <c r="AO127" s="85"/>
      <c r="AP127" s="85"/>
      <c r="AQ127" s="85"/>
      <c r="AR127" s="85"/>
      <c r="AS127" s="85"/>
      <c r="AT127" s="85"/>
      <c r="AU127" s="85"/>
      <c r="AV127" s="85"/>
      <c r="AW127" s="85"/>
      <c r="AX127" s="85"/>
      <c r="AY127" s="85"/>
      <c r="AZ127" s="85"/>
      <c r="BA127" s="85"/>
    </row>
    <row r="128" spans="1:53" ht="15.75">
      <c r="A128" s="149"/>
      <c r="B128" s="305" t="s">
        <v>172</v>
      </c>
      <c r="C128" s="306"/>
      <c r="D128" s="271">
        <v>14</v>
      </c>
      <c r="E128" s="272"/>
      <c r="F128" s="278">
        <f t="shared" si="17"/>
        <v>13736.305728284855</v>
      </c>
      <c r="G128" s="279"/>
      <c r="H128" s="275">
        <f t="shared" si="13"/>
        <v>137.36305728284856</v>
      </c>
      <c r="I128" s="276"/>
      <c r="J128" s="277"/>
      <c r="K128" s="75">
        <f t="shared" si="18"/>
        <v>164.83566873941825</v>
      </c>
      <c r="L128" s="81" t="str">
        <f t="shared" si="14"/>
        <v>WIN</v>
      </c>
      <c r="M128" s="242">
        <f>IF(COUNTA($F$6:$F$10)=5,(F129-F24)/F24,"")</f>
        <v>0.39011413970242736</v>
      </c>
      <c r="N128" s="238">
        <f t="shared" si="15"/>
        <v>4</v>
      </c>
      <c r="O128" s="14" t="str">
        <f t="shared" si="16"/>
        <v>last</v>
      </c>
      <c r="P128" s="14"/>
      <c r="Q128" s="14"/>
      <c r="R128" s="14"/>
      <c r="S128" s="14"/>
      <c r="T128" s="14"/>
      <c r="U128" s="14"/>
      <c r="V128" s="14"/>
      <c r="W128" s="39">
        <f>IF(AND(L128="WIN",L129&lt;&gt;"WIN"),SUMIF(L$24:L128,"WIN",K$24:K128)-SUM(W$23:W127),"")</f>
        <v>647.70766827856642</v>
      </c>
      <c r="X128" s="41" t="str">
        <f>IF(AND(L128="LOSS",L129&lt;&gt;"LOSS"),SUMIF(L$24:L128,"LOSS",K$24:K128)-SUM(X$23:X127),"")</f>
        <v/>
      </c>
      <c r="Y128" s="8"/>
      <c r="Z128" s="128"/>
      <c r="AA128" s="128"/>
      <c r="AB128" s="128"/>
      <c r="AC128" s="128"/>
      <c r="AD128" s="128"/>
      <c r="AE128" s="128"/>
      <c r="AF128" s="128"/>
      <c r="AG128" s="128"/>
      <c r="AH128" s="128"/>
      <c r="AI128" s="128"/>
      <c r="AJ128" s="128"/>
      <c r="AK128" s="128"/>
      <c r="AL128" s="128"/>
      <c r="AM128" s="128"/>
      <c r="AN128" s="99"/>
      <c r="AO128" s="85"/>
      <c r="AP128" s="85"/>
      <c r="AQ128" s="85"/>
      <c r="AR128" s="85"/>
      <c r="AS128" s="85"/>
      <c r="AT128" s="85"/>
      <c r="AU128" s="85"/>
      <c r="AV128" s="85"/>
      <c r="AW128" s="85"/>
      <c r="AX128" s="85"/>
      <c r="AY128" s="85"/>
      <c r="AZ128" s="85"/>
      <c r="BA128" s="85"/>
    </row>
    <row r="129" spans="1:53" ht="15.75">
      <c r="A129" s="149"/>
      <c r="B129" s="305" t="s">
        <v>173</v>
      </c>
      <c r="C129" s="306"/>
      <c r="D129" s="271">
        <v>85</v>
      </c>
      <c r="E129" s="272"/>
      <c r="F129" s="278">
        <f t="shared" si="17"/>
        <v>13901.141397024274</v>
      </c>
      <c r="G129" s="279"/>
      <c r="H129" s="275">
        <f t="shared" si="13"/>
        <v>139.01141397024273</v>
      </c>
      <c r="I129" s="276"/>
      <c r="J129" s="277"/>
      <c r="K129" s="75">
        <f t="shared" si="18"/>
        <v>-139.01141397024273</v>
      </c>
      <c r="L129" s="81" t="str">
        <f t="shared" si="14"/>
        <v>LOSS</v>
      </c>
      <c r="M129" s="242">
        <f>IF(COUNTA($F$6:$F$10)=5,(F130-F24)/F24,"")</f>
        <v>0.376212998305403</v>
      </c>
      <c r="N129" s="238">
        <f t="shared" si="15"/>
        <v>1</v>
      </c>
      <c r="O129" s="14" t="str">
        <f t="shared" si="16"/>
        <v>new</v>
      </c>
      <c r="P129" s="14"/>
      <c r="Q129" s="14"/>
      <c r="R129" s="14"/>
      <c r="S129" s="14"/>
      <c r="T129" s="14"/>
      <c r="U129" s="14"/>
      <c r="V129" s="14"/>
      <c r="W129" s="39" t="str">
        <f>IF(AND(L129="WIN",L130&lt;&gt;"WIN"),SUMIF(L$24:L129,"WIN",K$24:K129)-SUM(W$23:W128),"")</f>
        <v/>
      </c>
      <c r="X129" s="41" t="str">
        <f>IF(AND(L129="LOSS",L130&lt;&gt;"LOSS"),SUMIF(L$24:L129,"LOSS",K$24:K129)-SUM(X$23:X128),"")</f>
        <v/>
      </c>
      <c r="Y129" s="8"/>
      <c r="Z129" s="128"/>
      <c r="AA129" s="128"/>
      <c r="AB129" s="128"/>
      <c r="AC129" s="128"/>
      <c r="AD129" s="128"/>
      <c r="AE129" s="128"/>
      <c r="AF129" s="128"/>
      <c r="AG129" s="128"/>
      <c r="AH129" s="128"/>
      <c r="AI129" s="128"/>
      <c r="AJ129" s="128"/>
      <c r="AK129" s="128"/>
      <c r="AL129" s="128"/>
      <c r="AM129" s="128"/>
      <c r="AN129" s="99"/>
      <c r="AO129" s="85"/>
      <c r="AP129" s="85"/>
      <c r="AQ129" s="85"/>
      <c r="AR129" s="85"/>
      <c r="AS129" s="85"/>
      <c r="AT129" s="85"/>
      <c r="AU129" s="85"/>
      <c r="AV129" s="85"/>
      <c r="AW129" s="85"/>
      <c r="AX129" s="85"/>
      <c r="AY129" s="85"/>
      <c r="AZ129" s="85"/>
      <c r="BA129" s="85"/>
    </row>
    <row r="130" spans="1:53" ht="16.5" thickBot="1">
      <c r="A130" s="149"/>
      <c r="B130" s="305" t="s">
        <v>174</v>
      </c>
      <c r="C130" s="306"/>
      <c r="D130" s="271">
        <v>66</v>
      </c>
      <c r="E130" s="272"/>
      <c r="F130" s="278">
        <f t="shared" si="17"/>
        <v>13762.12998305403</v>
      </c>
      <c r="G130" s="279"/>
      <c r="H130" s="275">
        <f t="shared" si="13"/>
        <v>137.62129983054029</v>
      </c>
      <c r="I130" s="276"/>
      <c r="J130" s="277"/>
      <c r="K130" s="75">
        <f t="shared" si="18"/>
        <v>-137.62129983054029</v>
      </c>
      <c r="L130" s="81" t="str">
        <f t="shared" si="14"/>
        <v>LOSS</v>
      </c>
      <c r="M130" s="242">
        <f>IF(COUNTA($F$6:$F$10)=5,(F131-F24)/F24,"")</f>
        <v>0.36245086832234902</v>
      </c>
      <c r="N130" s="238">
        <f t="shared" si="15"/>
        <v>2</v>
      </c>
      <c r="O130" s="14" t="str">
        <f t="shared" si="16"/>
        <v>middle</v>
      </c>
      <c r="P130" s="14"/>
      <c r="Q130" s="14"/>
      <c r="R130" s="14"/>
      <c r="S130" s="14"/>
      <c r="T130" s="14"/>
      <c r="U130" s="14"/>
      <c r="V130" s="14"/>
      <c r="W130" s="39" t="str">
        <f>IF(AND(L130="WIN",L131&lt;&gt;"WIN"),SUMIF(L$24:L130,"WIN",K$24:K130)-SUM(W$23:W129),"")</f>
        <v/>
      </c>
      <c r="X130" s="41" t="str">
        <f>IF(AND(L130="LOSS",L131&lt;&gt;"LOSS"),SUMIF(L$24:L130,"LOSS",K$24:K130)-SUM(X$23:X129),"")</f>
        <v/>
      </c>
      <c r="Y130" s="8"/>
      <c r="Z130" s="128"/>
      <c r="AA130" s="128"/>
      <c r="AB130" s="128"/>
      <c r="AC130" s="128"/>
      <c r="AD130" s="128"/>
      <c r="AE130" s="128"/>
      <c r="AF130" s="128"/>
      <c r="AG130" s="128"/>
      <c r="AH130" s="128"/>
      <c r="AI130" s="128"/>
      <c r="AJ130" s="128"/>
      <c r="AK130" s="128"/>
      <c r="AL130" s="128"/>
      <c r="AM130" s="128"/>
      <c r="AN130" s="128"/>
      <c r="AO130" s="85"/>
      <c r="AP130" s="85"/>
      <c r="AQ130" s="85"/>
      <c r="AR130" s="85"/>
      <c r="AS130" s="85"/>
      <c r="AT130" s="85"/>
      <c r="AU130" s="85"/>
      <c r="AV130" s="85"/>
      <c r="AW130" s="85"/>
      <c r="AX130" s="85"/>
      <c r="AY130" s="85"/>
      <c r="AZ130" s="85"/>
      <c r="BA130" s="85"/>
    </row>
    <row r="131" spans="1:53" ht="15.75">
      <c r="A131" s="149"/>
      <c r="B131" s="305" t="s">
        <v>175</v>
      </c>
      <c r="C131" s="306"/>
      <c r="D131" s="271">
        <v>71</v>
      </c>
      <c r="E131" s="272"/>
      <c r="F131" s="278">
        <f t="shared" si="17"/>
        <v>13624.50868322349</v>
      </c>
      <c r="G131" s="279"/>
      <c r="H131" s="275">
        <f t="shared" si="13"/>
        <v>136.2450868322349</v>
      </c>
      <c r="I131" s="276"/>
      <c r="J131" s="277"/>
      <c r="K131" s="75">
        <f t="shared" si="18"/>
        <v>-136.2450868322349</v>
      </c>
      <c r="L131" s="81" t="str">
        <f t="shared" si="14"/>
        <v>LOSS</v>
      </c>
      <c r="M131" s="242">
        <f>IF(COUNTA($F$6:$F$10)=5,(F132-F24)/F24,"")</f>
        <v>0.34882635963912545</v>
      </c>
      <c r="N131" s="238">
        <f t="shared" si="15"/>
        <v>3</v>
      </c>
      <c r="O131" s="14" t="str">
        <f t="shared" si="16"/>
        <v>middle</v>
      </c>
      <c r="P131" s="14"/>
      <c r="Q131" s="14"/>
      <c r="R131" s="14"/>
      <c r="S131" s="14"/>
      <c r="T131" s="14"/>
      <c r="U131" s="14"/>
      <c r="V131" s="14"/>
      <c r="W131" s="39" t="str">
        <f>IF(AND(L131="WIN",L132&lt;&gt;"WIN"),SUMIF(L$24:L131,"WIN",K$24:K131)-SUM(W$23:W130),"")</f>
        <v/>
      </c>
      <c r="X131" s="41" t="str">
        <f>IF(AND(L131="LOSS",L132&lt;&gt;"LOSS"),SUMIF(L$24:L131,"LOSS",K$24:K131)-SUM(X$23:X130),"")</f>
        <v/>
      </c>
      <c r="Y131" s="8"/>
      <c r="Z131" s="435" t="s">
        <v>21</v>
      </c>
      <c r="AA131" s="436"/>
      <c r="AB131" s="436"/>
      <c r="AC131" s="436"/>
      <c r="AD131" s="436"/>
      <c r="AE131" s="436"/>
      <c r="AF131" s="436"/>
      <c r="AG131" s="436"/>
      <c r="AH131" s="436"/>
      <c r="AI131" s="436"/>
      <c r="AJ131" s="436"/>
      <c r="AK131" s="436"/>
      <c r="AL131" s="436"/>
      <c r="AM131" s="436"/>
      <c r="AN131" s="437"/>
      <c r="AO131" s="85"/>
      <c r="AP131" s="85"/>
      <c r="AQ131" s="85"/>
      <c r="AR131" s="85"/>
      <c r="AS131" s="85"/>
      <c r="AT131" s="85"/>
      <c r="AU131" s="85"/>
      <c r="AV131" s="85"/>
      <c r="AW131" s="85"/>
      <c r="AX131" s="85"/>
      <c r="AY131" s="85"/>
      <c r="AZ131" s="85"/>
      <c r="BA131" s="85"/>
    </row>
    <row r="132" spans="1:53" ht="15.75">
      <c r="A132" s="149"/>
      <c r="B132" s="305" t="s">
        <v>176</v>
      </c>
      <c r="C132" s="306"/>
      <c r="D132" s="271">
        <v>99</v>
      </c>
      <c r="E132" s="272"/>
      <c r="F132" s="278">
        <f t="shared" si="17"/>
        <v>13488.263596391254</v>
      </c>
      <c r="G132" s="279"/>
      <c r="H132" s="275">
        <f t="shared" si="13"/>
        <v>134.88263596391255</v>
      </c>
      <c r="I132" s="276"/>
      <c r="J132" s="277"/>
      <c r="K132" s="75">
        <f t="shared" si="18"/>
        <v>-134.88263596391255</v>
      </c>
      <c r="L132" s="81" t="str">
        <f t="shared" si="14"/>
        <v>LOSS</v>
      </c>
      <c r="M132" s="242">
        <f>IF(COUNTA($F$6:$F$10)=5,(F133-F24)/F24,"")</f>
        <v>0.33533809604273412</v>
      </c>
      <c r="N132" s="238">
        <f t="shared" si="15"/>
        <v>4</v>
      </c>
      <c r="O132" s="14" t="str">
        <f t="shared" si="16"/>
        <v>last</v>
      </c>
      <c r="P132" s="14"/>
      <c r="Q132" s="14"/>
      <c r="R132" s="14"/>
      <c r="S132" s="14"/>
      <c r="T132" s="14"/>
      <c r="U132" s="14"/>
      <c r="V132" s="14"/>
      <c r="W132" s="39" t="str">
        <f>IF(AND(L132="WIN",L133&lt;&gt;"WIN"),SUMIF(L$24:L132,"WIN",K$24:K132)-SUM(W$23:W131),"")</f>
        <v/>
      </c>
      <c r="X132" s="41">
        <f>IF(AND(L132="LOSS",L133&lt;&gt;"LOSS"),SUMIF(L$24:L132,"LOSS",K$24:K132)-SUM(X$23:X131),"")</f>
        <v>-547.76043659693005</v>
      </c>
      <c r="Y132" s="8"/>
      <c r="Z132" s="438" t="s">
        <v>22</v>
      </c>
      <c r="AA132" s="439"/>
      <c r="AB132" s="439"/>
      <c r="AC132" s="439"/>
      <c r="AD132" s="439"/>
      <c r="AE132" s="439"/>
      <c r="AF132" s="439"/>
      <c r="AG132" s="439"/>
      <c r="AH132" s="439"/>
      <c r="AI132" s="439"/>
      <c r="AJ132" s="439"/>
      <c r="AK132" s="439"/>
      <c r="AL132" s="439"/>
      <c r="AM132" s="439"/>
      <c r="AN132" s="440"/>
      <c r="AO132" s="85"/>
      <c r="AP132" s="85"/>
      <c r="AQ132" s="85"/>
      <c r="AR132" s="85"/>
      <c r="AS132" s="85"/>
      <c r="AT132" s="85"/>
      <c r="AU132" s="85"/>
      <c r="AV132" s="85"/>
      <c r="AW132" s="85"/>
      <c r="AX132" s="85"/>
      <c r="AY132" s="85"/>
      <c r="AZ132" s="85"/>
      <c r="BA132" s="85"/>
    </row>
    <row r="133" spans="1:53" ht="15.75">
      <c r="A133" s="149"/>
      <c r="B133" s="305" t="s">
        <v>177</v>
      </c>
      <c r="C133" s="306"/>
      <c r="D133" s="271">
        <v>11</v>
      </c>
      <c r="E133" s="272"/>
      <c r="F133" s="278">
        <f t="shared" si="17"/>
        <v>13353.380960427341</v>
      </c>
      <c r="G133" s="279"/>
      <c r="H133" s="275">
        <f t="shared" si="13"/>
        <v>133.53380960427342</v>
      </c>
      <c r="I133" s="276"/>
      <c r="J133" s="277"/>
      <c r="K133" s="75">
        <f t="shared" si="18"/>
        <v>160.2405715251281</v>
      </c>
      <c r="L133" s="81" t="str">
        <f t="shared" si="14"/>
        <v>WIN</v>
      </c>
      <c r="M133" s="242">
        <f>IF(COUNTA($F$6:$F$10)=5,(F134-F24)/F24,"")</f>
        <v>0.35136215319524688</v>
      </c>
      <c r="N133" s="238">
        <f t="shared" si="15"/>
        <v>1</v>
      </c>
      <c r="O133" s="14" t="str">
        <f t="shared" si="16"/>
        <v>new</v>
      </c>
      <c r="P133" s="14"/>
      <c r="Q133" s="14"/>
      <c r="R133" s="14"/>
      <c r="S133" s="14"/>
      <c r="T133" s="14"/>
      <c r="U133" s="14"/>
      <c r="V133" s="14"/>
      <c r="W133" s="39" t="str">
        <f>IF(AND(L133="WIN",L134&lt;&gt;"WIN"),SUMIF(L$24:L133,"WIN",K$24:K133)-SUM(W$23:W132),"")</f>
        <v/>
      </c>
      <c r="X133" s="41" t="str">
        <f>IF(AND(L133="LOSS",L134&lt;&gt;"LOSS"),SUMIF(L$24:L133,"LOSS",K$24:K133)-SUM(X$23:X132),"")</f>
        <v/>
      </c>
      <c r="Y133" s="8"/>
      <c r="Z133" s="438" t="s">
        <v>24</v>
      </c>
      <c r="AA133" s="439"/>
      <c r="AB133" s="439"/>
      <c r="AC133" s="439"/>
      <c r="AD133" s="439"/>
      <c r="AE133" s="439"/>
      <c r="AF133" s="439"/>
      <c r="AG133" s="439"/>
      <c r="AH133" s="439"/>
      <c r="AI133" s="439"/>
      <c r="AJ133" s="439"/>
      <c r="AK133" s="439"/>
      <c r="AL133" s="439"/>
      <c r="AM133" s="439"/>
      <c r="AN133" s="440"/>
      <c r="AO133" s="85"/>
      <c r="AP133" s="85"/>
      <c r="AQ133" s="85"/>
      <c r="AR133" s="85"/>
      <c r="AS133" s="85"/>
      <c r="AT133" s="85"/>
      <c r="AU133" s="85"/>
      <c r="AV133" s="85"/>
      <c r="AW133" s="85"/>
      <c r="AX133" s="85"/>
      <c r="AY133" s="85"/>
      <c r="AZ133" s="85"/>
      <c r="BA133" s="85"/>
    </row>
    <row r="134" spans="1:53" ht="15.75">
      <c r="A134" s="149"/>
      <c r="B134" s="305" t="s">
        <v>178</v>
      </c>
      <c r="C134" s="306"/>
      <c r="D134" s="271">
        <v>34</v>
      </c>
      <c r="E134" s="272"/>
      <c r="F134" s="278">
        <f t="shared" si="17"/>
        <v>13513.621531952469</v>
      </c>
      <c r="G134" s="279"/>
      <c r="H134" s="275">
        <f t="shared" si="13"/>
        <v>135.13621531952469</v>
      </c>
      <c r="I134" s="276"/>
      <c r="J134" s="277"/>
      <c r="K134" s="75">
        <f t="shared" si="18"/>
        <v>162.16345838342963</v>
      </c>
      <c r="L134" s="81" t="str">
        <f t="shared" si="14"/>
        <v>WIN</v>
      </c>
      <c r="M134" s="242">
        <f>IF(COUNTA($F$6:$F$10)=5,(F135-F24)/F24,"")</f>
        <v>0.36757849903358986</v>
      </c>
      <c r="N134" s="238">
        <f t="shared" si="15"/>
        <v>2</v>
      </c>
      <c r="O134" s="14" t="str">
        <f t="shared" si="16"/>
        <v>middle</v>
      </c>
      <c r="P134" s="14"/>
      <c r="Q134" s="14"/>
      <c r="R134" s="14"/>
      <c r="S134" s="14"/>
      <c r="T134" s="14"/>
      <c r="U134" s="14"/>
      <c r="V134" s="14"/>
      <c r="W134" s="39" t="str">
        <f>IF(AND(L134="WIN",L135&lt;&gt;"WIN"),SUMIF(L$24:L134,"WIN",K$24:K134)-SUM(W$23:W133),"")</f>
        <v/>
      </c>
      <c r="X134" s="41" t="str">
        <f>IF(AND(L134="LOSS",L135&lt;&gt;"LOSS"),SUMIF(L$24:L134,"LOSS",K$24:K134)-SUM(X$23:X133),"")</f>
        <v/>
      </c>
      <c r="Y134" s="8"/>
      <c r="Z134" s="229"/>
      <c r="AA134" s="441" t="s">
        <v>25</v>
      </c>
      <c r="AB134" s="441"/>
      <c r="AC134" s="441"/>
      <c r="AD134" s="441"/>
      <c r="AE134" s="441"/>
      <c r="AF134" s="441"/>
      <c r="AG134" s="441"/>
      <c r="AH134" s="19" t="s">
        <v>23</v>
      </c>
      <c r="AI134" s="19"/>
      <c r="AJ134" s="19"/>
      <c r="AK134" s="19"/>
      <c r="AL134" s="28"/>
      <c r="AM134" s="28"/>
      <c r="AN134" s="230"/>
      <c r="AO134" s="85"/>
      <c r="AP134" s="85"/>
      <c r="AQ134" s="85"/>
      <c r="AR134" s="85"/>
      <c r="AS134" s="85"/>
      <c r="AT134" s="85"/>
      <c r="AU134" s="85"/>
      <c r="AV134" s="85"/>
      <c r="AW134" s="85"/>
      <c r="AX134" s="85"/>
      <c r="AY134" s="85"/>
      <c r="AZ134" s="85"/>
      <c r="BA134" s="85"/>
    </row>
    <row r="135" spans="1:53" ht="15.75">
      <c r="A135" s="149"/>
      <c r="B135" s="305" t="s">
        <v>179</v>
      </c>
      <c r="C135" s="306"/>
      <c r="D135" s="271">
        <v>24</v>
      </c>
      <c r="E135" s="272"/>
      <c r="F135" s="278">
        <f t="shared" si="17"/>
        <v>13675.784990335898</v>
      </c>
      <c r="G135" s="279"/>
      <c r="H135" s="275">
        <f t="shared" si="13"/>
        <v>136.75784990335899</v>
      </c>
      <c r="I135" s="276"/>
      <c r="J135" s="277"/>
      <c r="K135" s="75">
        <f t="shared" si="18"/>
        <v>164.10941988403079</v>
      </c>
      <c r="L135" s="81" t="str">
        <f t="shared" si="14"/>
        <v>WIN</v>
      </c>
      <c r="M135" s="242">
        <f>IF(COUNTA($F$6:$F$10)=5,(F136-F24)/F24,"")</f>
        <v>0.38398944102199295</v>
      </c>
      <c r="N135" s="238">
        <f t="shared" si="15"/>
        <v>3</v>
      </c>
      <c r="O135" s="14" t="str">
        <f t="shared" si="16"/>
        <v>last</v>
      </c>
      <c r="P135" s="14"/>
      <c r="Q135" s="14"/>
      <c r="R135" s="14"/>
      <c r="S135" s="14"/>
      <c r="T135" s="14"/>
      <c r="U135" s="14"/>
      <c r="V135" s="14"/>
      <c r="W135" s="39">
        <f>IF(AND(L135="WIN",L136&lt;&gt;"WIN"),SUMIF(L$24:L135,"WIN",K$24:K135)-SUM(W$23:W134),"")</f>
        <v>486.51344979258829</v>
      </c>
      <c r="X135" s="41" t="str">
        <f>IF(AND(L135="LOSS",L136&lt;&gt;"LOSS"),SUMIF(L$24:L135,"LOSS",K$24:K135)-SUM(X$23:X134),"")</f>
        <v/>
      </c>
      <c r="Y135" s="8"/>
      <c r="Z135" s="442" t="s">
        <v>608</v>
      </c>
      <c r="AA135" s="443"/>
      <c r="AB135" s="443"/>
      <c r="AC135" s="443"/>
      <c r="AD135" s="443"/>
      <c r="AE135" s="443"/>
      <c r="AF135" s="443"/>
      <c r="AG135" s="443"/>
      <c r="AH135" s="443"/>
      <c r="AI135" s="443"/>
      <c r="AJ135" s="443"/>
      <c r="AK135" s="443"/>
      <c r="AL135" s="443"/>
      <c r="AM135" s="443"/>
      <c r="AN135" s="444"/>
      <c r="AO135" s="85"/>
      <c r="AP135" s="85"/>
      <c r="AQ135" s="85"/>
      <c r="AR135" s="85"/>
      <c r="AS135" s="85"/>
      <c r="AT135" s="85"/>
      <c r="AU135" s="85"/>
      <c r="AV135" s="85"/>
      <c r="AW135" s="85"/>
      <c r="AX135" s="85"/>
      <c r="AY135" s="85"/>
      <c r="AZ135" s="85"/>
      <c r="BA135" s="85"/>
    </row>
    <row r="136" spans="1:53" ht="15.75">
      <c r="A136" s="149"/>
      <c r="B136" s="305" t="s">
        <v>180</v>
      </c>
      <c r="C136" s="306"/>
      <c r="D136" s="271">
        <v>70</v>
      </c>
      <c r="E136" s="272"/>
      <c r="F136" s="278">
        <f t="shared" si="17"/>
        <v>13839.894410219929</v>
      </c>
      <c r="G136" s="279"/>
      <c r="H136" s="275">
        <f t="shared" si="13"/>
        <v>138.39894410219929</v>
      </c>
      <c r="I136" s="276"/>
      <c r="J136" s="277"/>
      <c r="K136" s="75">
        <f t="shared" si="18"/>
        <v>-138.39894410219929</v>
      </c>
      <c r="L136" s="81" t="str">
        <f t="shared" si="14"/>
        <v>LOSS</v>
      </c>
      <c r="M136" s="242">
        <f>IF(COUNTA($F$6:$F$10)=5,(F137-F24)/F24,"")</f>
        <v>0.37014954661177307</v>
      </c>
      <c r="N136" s="238">
        <f t="shared" si="15"/>
        <v>1</v>
      </c>
      <c r="O136" s="14" t="str">
        <f t="shared" si="16"/>
        <v>last</v>
      </c>
      <c r="P136" s="14"/>
      <c r="Q136" s="14"/>
      <c r="R136" s="14"/>
      <c r="S136" s="14"/>
      <c r="T136" s="14"/>
      <c r="U136" s="14"/>
      <c r="V136" s="14"/>
      <c r="W136" s="39" t="str">
        <f>IF(AND(L136="WIN",L137&lt;&gt;"WIN"),SUMIF(L$24:L136,"WIN",K$24:K136)-SUM(W$23:W135),"")</f>
        <v/>
      </c>
      <c r="X136" s="41">
        <f>IF(AND(L136="LOSS",L137&lt;&gt;"LOSS"),SUMIF(L$24:L136,"LOSS",K$24:K136)-SUM(X$23:X135),"")</f>
        <v>-138.39894410219949</v>
      </c>
      <c r="Y136" s="8"/>
      <c r="Z136" s="231"/>
      <c r="AA136" s="99"/>
      <c r="AB136" s="99"/>
      <c r="AC136" s="99"/>
      <c r="AD136" s="99"/>
      <c r="AE136" s="99"/>
      <c r="AF136" s="99"/>
      <c r="AG136" s="99"/>
      <c r="AH136" s="99"/>
      <c r="AI136" s="99"/>
      <c r="AJ136" s="99"/>
      <c r="AK136" s="99"/>
      <c r="AL136" s="99"/>
      <c r="AM136" s="99"/>
      <c r="AN136" s="232"/>
      <c r="AO136" s="85"/>
      <c r="AP136" s="85"/>
      <c r="AQ136" s="85"/>
      <c r="AR136" s="85"/>
      <c r="AS136" s="85"/>
      <c r="AT136" s="85"/>
      <c r="AU136" s="85"/>
      <c r="AV136" s="85"/>
      <c r="AW136" s="85"/>
      <c r="AX136" s="85"/>
      <c r="AY136" s="85"/>
      <c r="AZ136" s="85"/>
      <c r="BA136" s="85"/>
    </row>
    <row r="137" spans="1:53" ht="16.5" thickBot="1">
      <c r="A137" s="149"/>
      <c r="B137" s="305" t="s">
        <v>181</v>
      </c>
      <c r="C137" s="306"/>
      <c r="D137" s="271">
        <v>21</v>
      </c>
      <c r="E137" s="272"/>
      <c r="F137" s="278">
        <f t="shared" si="17"/>
        <v>13701.495466117731</v>
      </c>
      <c r="G137" s="279"/>
      <c r="H137" s="275">
        <f t="shared" si="13"/>
        <v>137.01495466117731</v>
      </c>
      <c r="I137" s="276"/>
      <c r="J137" s="277"/>
      <c r="K137" s="75">
        <f t="shared" si="18"/>
        <v>164.41794559341278</v>
      </c>
      <c r="L137" s="81" t="str">
        <f t="shared" si="14"/>
        <v>WIN</v>
      </c>
      <c r="M137" s="242">
        <f>IF(COUNTA($F$6:$F$10)=5,(F138-F24)/F24,"")</f>
        <v>0.38659134117111443</v>
      </c>
      <c r="N137" s="238">
        <f t="shared" si="15"/>
        <v>1</v>
      </c>
      <c r="O137" s="14" t="str">
        <f t="shared" si="16"/>
        <v>last</v>
      </c>
      <c r="P137" s="14"/>
      <c r="Q137" s="14"/>
      <c r="R137" s="14"/>
      <c r="S137" s="14"/>
      <c r="T137" s="14"/>
      <c r="U137" s="14"/>
      <c r="V137" s="14"/>
      <c r="W137" s="39">
        <f>IF(AND(L137="WIN",L138&lt;&gt;"WIN"),SUMIF(L$24:L137,"WIN",K$24:K137)-SUM(W$23:W136),"")</f>
        <v>164.41794559341361</v>
      </c>
      <c r="X137" s="41" t="str">
        <f>IF(AND(L137="LOSS",L138&lt;&gt;"LOSS"),SUMIF(L$24:L137,"LOSS",K$24:K137)-SUM(X$23:X136),"")</f>
        <v/>
      </c>
      <c r="Y137" s="8"/>
      <c r="Z137" s="233"/>
      <c r="AA137" s="234"/>
      <c r="AB137" s="234"/>
      <c r="AC137" s="234"/>
      <c r="AD137" s="234"/>
      <c r="AE137" s="234"/>
      <c r="AF137" s="234"/>
      <c r="AG137" s="234"/>
      <c r="AH137" s="234"/>
      <c r="AI137" s="234"/>
      <c r="AJ137" s="234"/>
      <c r="AK137" s="234"/>
      <c r="AL137" s="234"/>
      <c r="AM137" s="234"/>
      <c r="AN137" s="235"/>
      <c r="AO137" s="85"/>
      <c r="AP137" s="85"/>
      <c r="AQ137" s="85"/>
      <c r="AR137" s="85"/>
      <c r="AS137" s="85"/>
      <c r="AT137" s="85"/>
      <c r="AU137" s="85"/>
      <c r="AV137" s="85"/>
      <c r="AW137" s="85"/>
      <c r="AX137" s="85"/>
      <c r="AY137" s="85"/>
      <c r="AZ137" s="85"/>
      <c r="BA137" s="85"/>
    </row>
    <row r="138" spans="1:53" ht="15.75">
      <c r="A138" s="149"/>
      <c r="B138" s="305" t="s">
        <v>182</v>
      </c>
      <c r="C138" s="306"/>
      <c r="D138" s="271">
        <v>96</v>
      </c>
      <c r="E138" s="272"/>
      <c r="F138" s="278">
        <f t="shared" si="17"/>
        <v>13865.913411711144</v>
      </c>
      <c r="G138" s="279"/>
      <c r="H138" s="275">
        <f t="shared" si="13"/>
        <v>138.65913411711145</v>
      </c>
      <c r="I138" s="276"/>
      <c r="J138" s="277"/>
      <c r="K138" s="75">
        <f t="shared" si="18"/>
        <v>-138.65913411711145</v>
      </c>
      <c r="L138" s="81" t="str">
        <f t="shared" si="14"/>
        <v>LOSS</v>
      </c>
      <c r="M138" s="242">
        <f>IF(COUNTA($F$6:$F$10)=5,(F139-F24)/F24,"")</f>
        <v>0.37272542775940326</v>
      </c>
      <c r="N138" s="238">
        <f t="shared" si="15"/>
        <v>1</v>
      </c>
      <c r="O138" s="14" t="str">
        <f t="shared" si="16"/>
        <v>new</v>
      </c>
      <c r="P138" s="14"/>
      <c r="Q138" s="14"/>
      <c r="R138" s="14"/>
      <c r="S138" s="14"/>
      <c r="T138" s="14"/>
      <c r="U138" s="14"/>
      <c r="V138" s="14"/>
      <c r="W138" s="39" t="str">
        <f>IF(AND(L138="WIN",L139&lt;&gt;"WIN"),SUMIF(L$24:L138,"WIN",K$24:K138)-SUM(W$23:W137),"")</f>
        <v/>
      </c>
      <c r="X138" s="41" t="str">
        <f>IF(AND(L138="LOSS",L139&lt;&gt;"LOSS"),SUMIF(L$24:L138,"LOSS",K$24:K138)-SUM(X$23:X137),"")</f>
        <v/>
      </c>
      <c r="Y138" s="8"/>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row>
    <row r="139" spans="1:53" ht="15.75">
      <c r="A139" s="149"/>
      <c r="B139" s="305" t="s">
        <v>183</v>
      </c>
      <c r="C139" s="306"/>
      <c r="D139" s="271">
        <v>63</v>
      </c>
      <c r="E139" s="272"/>
      <c r="F139" s="278">
        <f t="shared" si="17"/>
        <v>13727.254277594033</v>
      </c>
      <c r="G139" s="279"/>
      <c r="H139" s="275">
        <f t="shared" si="13"/>
        <v>137.27254277594034</v>
      </c>
      <c r="I139" s="276"/>
      <c r="J139" s="277"/>
      <c r="K139" s="75">
        <f t="shared" si="18"/>
        <v>-137.27254277594034</v>
      </c>
      <c r="L139" s="81" t="str">
        <f t="shared" si="14"/>
        <v>LOSS</v>
      </c>
      <c r="M139" s="242">
        <f>IF(COUNTA($F$6:$F$10)=5,(F140-F24)/F24,"")</f>
        <v>0.35899817348180929</v>
      </c>
      <c r="N139" s="238">
        <f t="shared" si="15"/>
        <v>2</v>
      </c>
      <c r="O139" s="14" t="str">
        <f t="shared" si="16"/>
        <v>last</v>
      </c>
      <c r="P139" s="14"/>
      <c r="Q139" s="14"/>
      <c r="R139" s="14"/>
      <c r="S139" s="14"/>
      <c r="T139" s="14"/>
      <c r="U139" s="14"/>
      <c r="V139" s="14"/>
      <c r="W139" s="39" t="str">
        <f>IF(AND(L139="WIN",L140&lt;&gt;"WIN"),SUMIF(L$24:L139,"WIN",K$24:K139)-SUM(W$23:W138),"")</f>
        <v/>
      </c>
      <c r="X139" s="41">
        <f>IF(AND(L139="LOSS",L140&lt;&gt;"LOSS"),SUMIF(L$24:L139,"LOSS",K$24:K139)-SUM(X$23:X138),"")</f>
        <v>-275.9316768930521</v>
      </c>
      <c r="Y139" s="8"/>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row>
    <row r="140" spans="1:53" ht="15.75">
      <c r="A140" s="149"/>
      <c r="B140" s="305" t="s">
        <v>184</v>
      </c>
      <c r="C140" s="306"/>
      <c r="D140" s="271">
        <v>47</v>
      </c>
      <c r="E140" s="272"/>
      <c r="F140" s="278">
        <f t="shared" si="17"/>
        <v>13589.981734818093</v>
      </c>
      <c r="G140" s="279"/>
      <c r="H140" s="275">
        <f t="shared" si="13"/>
        <v>135.89981734818093</v>
      </c>
      <c r="I140" s="276"/>
      <c r="J140" s="277"/>
      <c r="K140" s="75">
        <f t="shared" si="18"/>
        <v>163.07978081781712</v>
      </c>
      <c r="L140" s="81" t="str">
        <f t="shared" si="14"/>
        <v>WIN</v>
      </c>
      <c r="M140" s="242">
        <f>IF(COUNTA($F$6:$F$10)=5,(F141-F24)/F24,"")</f>
        <v>0.37530615156359109</v>
      </c>
      <c r="N140" s="238">
        <f t="shared" si="15"/>
        <v>1</v>
      </c>
      <c r="O140" s="14" t="str">
        <f t="shared" si="16"/>
        <v>new</v>
      </c>
      <c r="P140" s="14"/>
      <c r="Q140" s="14"/>
      <c r="R140" s="14"/>
      <c r="S140" s="14"/>
      <c r="T140" s="14"/>
      <c r="U140" s="14"/>
      <c r="V140" s="14"/>
      <c r="W140" s="39" t="str">
        <f>IF(AND(L140="WIN",L141&lt;&gt;"WIN"),SUMIF(L$24:L140,"WIN",K$24:K140)-SUM(W$23:W139),"")</f>
        <v/>
      </c>
      <c r="X140" s="41" t="str">
        <f>IF(AND(L140="LOSS",L141&lt;&gt;"LOSS"),SUMIF(L$24:L140,"LOSS",K$24:K140)-SUM(X$23:X139),"")</f>
        <v/>
      </c>
      <c r="Y140" s="8"/>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row>
    <row r="141" spans="1:53" ht="15.75">
      <c r="A141" s="149"/>
      <c r="B141" s="305" t="s">
        <v>185</v>
      </c>
      <c r="C141" s="306"/>
      <c r="D141" s="271">
        <v>39</v>
      </c>
      <c r="E141" s="272"/>
      <c r="F141" s="278">
        <f t="shared" si="17"/>
        <v>13753.061515635911</v>
      </c>
      <c r="G141" s="279"/>
      <c r="H141" s="275">
        <f t="shared" si="13"/>
        <v>137.53061515635912</v>
      </c>
      <c r="I141" s="276"/>
      <c r="J141" s="277"/>
      <c r="K141" s="75">
        <f t="shared" si="18"/>
        <v>165.03673818763093</v>
      </c>
      <c r="L141" s="81" t="str">
        <f t="shared" si="14"/>
        <v>WIN</v>
      </c>
      <c r="M141" s="242">
        <f>IF(COUNTA($F$6:$F$10)=5,(F142-F24)/F24,"")</f>
        <v>0.3918098253823542</v>
      </c>
      <c r="N141" s="238">
        <f t="shared" si="15"/>
        <v>2</v>
      </c>
      <c r="O141" s="14" t="str">
        <f t="shared" si="16"/>
        <v>middle</v>
      </c>
      <c r="P141" s="14"/>
      <c r="Q141" s="14"/>
      <c r="R141" s="14"/>
      <c r="S141" s="14"/>
      <c r="T141" s="14"/>
      <c r="U141" s="14"/>
      <c r="V141" s="14"/>
      <c r="W141" s="39" t="str">
        <f>IF(AND(L141="WIN",L142&lt;&gt;"WIN"),SUMIF(L$24:L141,"WIN",K$24:K141)-SUM(W$23:W140),"")</f>
        <v/>
      </c>
      <c r="X141" s="41" t="str">
        <f>IF(AND(L141="LOSS",L142&lt;&gt;"LOSS"),SUMIF(L$24:L141,"LOSS",K$24:K141)-SUM(X$23:X140),"")</f>
        <v/>
      </c>
      <c r="Y141" s="8"/>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row>
    <row r="142" spans="1:53" ht="15.75">
      <c r="A142" s="149"/>
      <c r="B142" s="305" t="s">
        <v>186</v>
      </c>
      <c r="C142" s="306"/>
      <c r="D142" s="271">
        <v>46</v>
      </c>
      <c r="E142" s="272"/>
      <c r="F142" s="278">
        <f t="shared" si="17"/>
        <v>13918.098253823542</v>
      </c>
      <c r="G142" s="279"/>
      <c r="H142" s="275">
        <f t="shared" si="13"/>
        <v>139.18098253823541</v>
      </c>
      <c r="I142" s="276"/>
      <c r="J142" s="277"/>
      <c r="K142" s="75">
        <f t="shared" si="18"/>
        <v>167.0171790458825</v>
      </c>
      <c r="L142" s="81" t="str">
        <f t="shared" si="14"/>
        <v>WIN</v>
      </c>
      <c r="M142" s="242">
        <f>IF(COUNTA($F$6:$F$10)=5,(F143-F24)/F24,"")</f>
        <v>0.40851154328694245</v>
      </c>
      <c r="N142" s="238">
        <f t="shared" si="15"/>
        <v>3</v>
      </c>
      <c r="O142" s="14" t="str">
        <f t="shared" si="16"/>
        <v>last</v>
      </c>
      <c r="P142" s="14"/>
      <c r="Q142" s="14"/>
      <c r="R142" s="14"/>
      <c r="S142" s="14"/>
      <c r="T142" s="14"/>
      <c r="U142" s="14"/>
      <c r="V142" s="14"/>
      <c r="W142" s="39">
        <f>IF(AND(L142="WIN",L143&lt;&gt;"WIN"),SUMIF(L$24:L142,"WIN",K$24:K142)-SUM(W$23:W141),"")</f>
        <v>495.13369805133152</v>
      </c>
      <c r="X142" s="41" t="str">
        <f>IF(AND(L142="LOSS",L143&lt;&gt;"LOSS"),SUMIF(L$24:L142,"LOSS",K$24:K142)-SUM(X$23:X141),"")</f>
        <v/>
      </c>
      <c r="Y142" s="8"/>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row>
    <row r="143" spans="1:53" ht="15.75">
      <c r="A143" s="149"/>
      <c r="B143" s="305" t="s">
        <v>187</v>
      </c>
      <c r="C143" s="306"/>
      <c r="D143" s="271">
        <v>74</v>
      </c>
      <c r="E143" s="272"/>
      <c r="F143" s="278">
        <f t="shared" si="17"/>
        <v>14085.115432869425</v>
      </c>
      <c r="G143" s="279"/>
      <c r="H143" s="275">
        <f t="shared" si="13"/>
        <v>140.85115432869426</v>
      </c>
      <c r="I143" s="276"/>
      <c r="J143" s="277"/>
      <c r="K143" s="75">
        <f t="shared" si="18"/>
        <v>-140.85115432869426</v>
      </c>
      <c r="L143" s="81" t="str">
        <f t="shared" si="14"/>
        <v>LOSS</v>
      </c>
      <c r="M143" s="242">
        <f>IF(COUNTA($F$6:$F$10)=5,(F144-F24)/F24,"")</f>
        <v>0.39442642785407295</v>
      </c>
      <c r="N143" s="238">
        <f t="shared" si="15"/>
        <v>1</v>
      </c>
      <c r="O143" s="14" t="str">
        <f t="shared" si="16"/>
        <v>last</v>
      </c>
      <c r="P143" s="14"/>
      <c r="Q143" s="14"/>
      <c r="R143" s="14"/>
      <c r="S143" s="14"/>
      <c r="T143" s="14"/>
      <c r="U143" s="14"/>
      <c r="V143" s="14"/>
      <c r="W143" s="39" t="str">
        <f>IF(AND(L143="WIN",L144&lt;&gt;"WIN"),SUMIF(L$24:L143,"WIN",K$24:K143)-SUM(W$23:W142),"")</f>
        <v/>
      </c>
      <c r="X143" s="41">
        <f>IF(AND(L143="LOSS",L144&lt;&gt;"LOSS"),SUMIF(L$24:L143,"LOSS",K$24:K143)-SUM(X$23:X142),"")</f>
        <v>-140.85115432869407</v>
      </c>
      <c r="Y143" s="8"/>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row>
    <row r="144" spans="1:53" ht="15.75">
      <c r="A144" s="149"/>
      <c r="B144" s="305" t="s">
        <v>188</v>
      </c>
      <c r="C144" s="306"/>
      <c r="D144" s="271">
        <v>25</v>
      </c>
      <c r="E144" s="272"/>
      <c r="F144" s="278">
        <f t="shared" si="17"/>
        <v>13944.26427854073</v>
      </c>
      <c r="G144" s="279"/>
      <c r="H144" s="275">
        <f t="shared" si="13"/>
        <v>139.44264278540729</v>
      </c>
      <c r="I144" s="276"/>
      <c r="J144" s="277"/>
      <c r="K144" s="75">
        <f t="shared" si="18"/>
        <v>167.33117134248874</v>
      </c>
      <c r="L144" s="81" t="str">
        <f t="shared" si="14"/>
        <v>WIN</v>
      </c>
      <c r="M144" s="242">
        <f>IF(COUNTA($F$6:$F$10)=5,(F145-F24)/F24,"")</f>
        <v>0.4111595449883218</v>
      </c>
      <c r="N144" s="238">
        <f t="shared" si="15"/>
        <v>1</v>
      </c>
      <c r="O144" s="14" t="str">
        <f t="shared" si="16"/>
        <v>new</v>
      </c>
      <c r="P144" s="14"/>
      <c r="Q144" s="14"/>
      <c r="R144" s="14"/>
      <c r="S144" s="14"/>
      <c r="T144" s="14"/>
      <c r="U144" s="14"/>
      <c r="V144" s="14"/>
      <c r="W144" s="39" t="str">
        <f>IF(AND(L144="WIN",L145&lt;&gt;"WIN"),SUMIF(L$24:L144,"WIN",K$24:K144)-SUM(W$23:W143),"")</f>
        <v/>
      </c>
      <c r="X144" s="41" t="str">
        <f>IF(AND(L144="LOSS",L145&lt;&gt;"LOSS"),SUMIF(L$24:L144,"LOSS",K$24:K144)-SUM(X$23:X143),"")</f>
        <v/>
      </c>
      <c r="Y144" s="8"/>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row>
    <row r="145" spans="1:53" ht="15.75">
      <c r="A145" s="149"/>
      <c r="B145" s="305" t="s">
        <v>189</v>
      </c>
      <c r="C145" s="306"/>
      <c r="D145" s="271">
        <v>9</v>
      </c>
      <c r="E145" s="272"/>
      <c r="F145" s="278">
        <f t="shared" si="17"/>
        <v>14111.595449883218</v>
      </c>
      <c r="G145" s="279"/>
      <c r="H145" s="275">
        <f t="shared" si="13"/>
        <v>141.1159544988322</v>
      </c>
      <c r="I145" s="276"/>
      <c r="J145" s="277"/>
      <c r="K145" s="75">
        <f t="shared" si="18"/>
        <v>169.33914539859862</v>
      </c>
      <c r="L145" s="81" t="str">
        <f t="shared" si="14"/>
        <v>WIN</v>
      </c>
      <c r="M145" s="242">
        <f>IF(COUNTA($F$6:$F$10)=5,(F146-F24)/F24,"")</f>
        <v>0.42809345952818167</v>
      </c>
      <c r="N145" s="238">
        <f t="shared" si="15"/>
        <v>2</v>
      </c>
      <c r="O145" s="14" t="str">
        <f t="shared" si="16"/>
        <v>middle</v>
      </c>
      <c r="P145" s="14"/>
      <c r="Q145" s="14"/>
      <c r="R145" s="14"/>
      <c r="S145" s="14"/>
      <c r="T145" s="14"/>
      <c r="U145" s="14"/>
      <c r="V145" s="14"/>
      <c r="W145" s="39" t="str">
        <f>IF(AND(L145="WIN",L146&lt;&gt;"WIN"),SUMIF(L$24:L145,"WIN",K$24:K145)-SUM(W$23:W144),"")</f>
        <v/>
      </c>
      <c r="X145" s="41" t="str">
        <f>IF(AND(L145="LOSS",L146&lt;&gt;"LOSS"),SUMIF(L$24:L145,"LOSS",K$24:K145)-SUM(X$23:X144),"")</f>
        <v/>
      </c>
      <c r="Y145" s="8"/>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row>
    <row r="146" spans="1:53" ht="15.75">
      <c r="A146" s="149"/>
      <c r="B146" s="305" t="s">
        <v>190</v>
      </c>
      <c r="C146" s="306"/>
      <c r="D146" s="271">
        <v>8</v>
      </c>
      <c r="E146" s="272"/>
      <c r="F146" s="278">
        <f t="shared" si="17"/>
        <v>14280.934595281817</v>
      </c>
      <c r="G146" s="279"/>
      <c r="H146" s="275">
        <f t="shared" si="13"/>
        <v>142.80934595281818</v>
      </c>
      <c r="I146" s="276"/>
      <c r="J146" s="277"/>
      <c r="K146" s="75">
        <f t="shared" si="18"/>
        <v>171.37121514338182</v>
      </c>
      <c r="L146" s="81" t="str">
        <f t="shared" si="14"/>
        <v>WIN</v>
      </c>
      <c r="M146" s="242">
        <f>IF(COUNTA($F$6:$F$10)=5,(F147-F24)/F24,"")</f>
        <v>0.44523058104251978</v>
      </c>
      <c r="N146" s="238">
        <f t="shared" si="15"/>
        <v>3</v>
      </c>
      <c r="O146" s="14" t="str">
        <f t="shared" si="16"/>
        <v>last</v>
      </c>
      <c r="P146" s="14"/>
      <c r="Q146" s="14"/>
      <c r="R146" s="14"/>
      <c r="S146" s="14"/>
      <c r="T146" s="14"/>
      <c r="U146" s="14"/>
      <c r="V146" s="14"/>
      <c r="W146" s="39">
        <f>IF(AND(L146="WIN",L147&lt;&gt;"WIN"),SUMIF(L$24:L146,"WIN",K$24:K146)-SUM(W$23:W145),"")</f>
        <v>508.04153188446799</v>
      </c>
      <c r="X146" s="41" t="str">
        <f>IF(AND(L146="LOSS",L147&lt;&gt;"LOSS"),SUMIF(L$24:L146,"LOSS",K$24:K146)-SUM(X$23:X145),"")</f>
        <v/>
      </c>
      <c r="Y146" s="8"/>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row>
    <row r="147" spans="1:53" ht="15.75">
      <c r="A147" s="149"/>
      <c r="B147" s="305" t="s">
        <v>191</v>
      </c>
      <c r="C147" s="306"/>
      <c r="D147" s="271">
        <v>79</v>
      </c>
      <c r="E147" s="272"/>
      <c r="F147" s="278">
        <f t="shared" si="17"/>
        <v>14452.305810425198</v>
      </c>
      <c r="G147" s="279"/>
      <c r="H147" s="275">
        <f t="shared" si="13"/>
        <v>144.52305810425199</v>
      </c>
      <c r="I147" s="276"/>
      <c r="J147" s="277"/>
      <c r="K147" s="75">
        <f t="shared" si="18"/>
        <v>-144.52305810425199</v>
      </c>
      <c r="L147" s="81" t="str">
        <f t="shared" si="14"/>
        <v>LOSS</v>
      </c>
      <c r="M147" s="242">
        <f>IF(COUNTA($F$6:$F$10)=5,(F148-F24)/F24,"")</f>
        <v>0.43077827523209455</v>
      </c>
      <c r="N147" s="238">
        <f t="shared" si="15"/>
        <v>1</v>
      </c>
      <c r="O147" s="14" t="str">
        <f t="shared" si="16"/>
        <v>new</v>
      </c>
      <c r="P147" s="14"/>
      <c r="Q147" s="14"/>
      <c r="R147" s="14"/>
      <c r="S147" s="14"/>
      <c r="T147" s="14"/>
      <c r="U147" s="14"/>
      <c r="V147" s="14"/>
      <c r="W147" s="39" t="str">
        <f>IF(AND(L147="WIN",L148&lt;&gt;"WIN"),SUMIF(L$24:L147,"WIN",K$24:K147)-SUM(W$23:W146),"")</f>
        <v/>
      </c>
      <c r="X147" s="41" t="str">
        <f>IF(AND(L147="LOSS",L148&lt;&gt;"LOSS"),SUMIF(L$24:L147,"LOSS",K$24:K147)-SUM(X$23:X146),"")</f>
        <v/>
      </c>
      <c r="Y147" s="8"/>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row>
    <row r="148" spans="1:53" ht="15.75">
      <c r="A148" s="149"/>
      <c r="B148" s="305" t="s">
        <v>192</v>
      </c>
      <c r="C148" s="306"/>
      <c r="D148" s="271">
        <v>69</v>
      </c>
      <c r="E148" s="272"/>
      <c r="F148" s="278">
        <f t="shared" si="17"/>
        <v>14307.782752320945</v>
      </c>
      <c r="G148" s="279"/>
      <c r="H148" s="275">
        <f t="shared" si="13"/>
        <v>143.07782752320946</v>
      </c>
      <c r="I148" s="276"/>
      <c r="J148" s="277"/>
      <c r="K148" s="75">
        <f t="shared" si="18"/>
        <v>-143.07782752320946</v>
      </c>
      <c r="L148" s="81" t="str">
        <f t="shared" si="14"/>
        <v>LOSS</v>
      </c>
      <c r="M148" s="242">
        <f>IF(COUNTA($F$6:$F$10)=5,(F149-F24)/F24,"")</f>
        <v>0.41647049247977358</v>
      </c>
      <c r="N148" s="238">
        <f t="shared" si="15"/>
        <v>2</v>
      </c>
      <c r="O148" s="14" t="str">
        <f t="shared" si="16"/>
        <v>last</v>
      </c>
      <c r="P148" s="14"/>
      <c r="Q148" s="14"/>
      <c r="R148" s="14"/>
      <c r="S148" s="14"/>
      <c r="T148" s="14"/>
      <c r="U148" s="14"/>
      <c r="V148" s="14"/>
      <c r="W148" s="39" t="str">
        <f>IF(AND(L148="WIN",L149&lt;&gt;"WIN"),SUMIF(L$24:L148,"WIN",K$24:K148)-SUM(W$23:W147),"")</f>
        <v/>
      </c>
      <c r="X148" s="41">
        <f>IF(AND(L148="LOSS",L149&lt;&gt;"LOSS"),SUMIF(L$24:L148,"LOSS",K$24:K148)-SUM(X$23:X147),"")</f>
        <v>-287.60088562746205</v>
      </c>
      <c r="Y148" s="8"/>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row>
    <row r="149" spans="1:53" ht="15.75">
      <c r="A149" s="149"/>
      <c r="B149" s="305" t="s">
        <v>193</v>
      </c>
      <c r="C149" s="306"/>
      <c r="D149" s="271">
        <v>53</v>
      </c>
      <c r="E149" s="272"/>
      <c r="F149" s="278">
        <f t="shared" si="17"/>
        <v>14164.704924797736</v>
      </c>
      <c r="G149" s="279"/>
      <c r="H149" s="275">
        <f t="shared" si="13"/>
        <v>141.64704924797735</v>
      </c>
      <c r="I149" s="276"/>
      <c r="J149" s="277"/>
      <c r="K149" s="75">
        <f t="shared" si="18"/>
        <v>169.97645909757281</v>
      </c>
      <c r="L149" s="81" t="str">
        <f t="shared" si="14"/>
        <v>WIN</v>
      </c>
      <c r="M149" s="242">
        <f>IF(COUNTA($F$6:$F$10)=5,(F150-F24)/F24,"")</f>
        <v>0.43346813838953097</v>
      </c>
      <c r="N149" s="238">
        <f t="shared" si="15"/>
        <v>1</v>
      </c>
      <c r="O149" s="14" t="str">
        <f t="shared" si="16"/>
        <v>last</v>
      </c>
      <c r="P149" s="14"/>
      <c r="Q149" s="14"/>
      <c r="R149" s="14"/>
      <c r="S149" s="14"/>
      <c r="T149" s="14"/>
      <c r="U149" s="14"/>
      <c r="V149" s="14"/>
      <c r="W149" s="39">
        <f>IF(AND(L149="WIN",L150&lt;&gt;"WIN"),SUMIF(L$24:L149,"WIN",K$24:K149)-SUM(W$23:W148),"")</f>
        <v>169.97645909757193</v>
      </c>
      <c r="X149" s="41" t="str">
        <f>IF(AND(L149="LOSS",L150&lt;&gt;"LOSS"),SUMIF(L$24:L149,"LOSS",K$24:K149)-SUM(X$23:X148),"")</f>
        <v/>
      </c>
      <c r="Y149" s="8"/>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row>
    <row r="150" spans="1:53" ht="15.75">
      <c r="A150" s="149"/>
      <c r="B150" s="305" t="s">
        <v>194</v>
      </c>
      <c r="C150" s="306"/>
      <c r="D150" s="271">
        <v>95</v>
      </c>
      <c r="E150" s="272"/>
      <c r="F150" s="278">
        <f t="shared" si="17"/>
        <v>14334.681383895309</v>
      </c>
      <c r="G150" s="279"/>
      <c r="H150" s="275">
        <f t="shared" si="13"/>
        <v>143.3468138389531</v>
      </c>
      <c r="I150" s="276"/>
      <c r="J150" s="277"/>
      <c r="K150" s="75">
        <f t="shared" si="18"/>
        <v>-143.3468138389531</v>
      </c>
      <c r="L150" s="81" t="str">
        <f t="shared" si="14"/>
        <v>LOSS</v>
      </c>
      <c r="M150" s="242">
        <f>IF(COUNTA($F$6:$F$10)=5,(F151-F24)/F24,"")</f>
        <v>0.4191334570056357</v>
      </c>
      <c r="N150" s="238">
        <f t="shared" si="15"/>
        <v>1</v>
      </c>
      <c r="O150" s="14" t="str">
        <f t="shared" si="16"/>
        <v>last</v>
      </c>
      <c r="P150" s="14"/>
      <c r="Q150" s="14"/>
      <c r="R150" s="14"/>
      <c r="S150" s="14"/>
      <c r="T150" s="14"/>
      <c r="U150" s="14"/>
      <c r="V150" s="14"/>
      <c r="W150" s="39" t="str">
        <f>IF(AND(L150="WIN",L151&lt;&gt;"WIN"),SUMIF(L$24:L150,"WIN",K$24:K150)-SUM(W$23:W149),"")</f>
        <v/>
      </c>
      <c r="X150" s="41">
        <f>IF(AND(L150="LOSS",L151&lt;&gt;"LOSS"),SUMIF(L$24:L150,"LOSS",K$24:K150)-SUM(X$23:X149),"")</f>
        <v>-143.34681383895349</v>
      </c>
      <c r="Y150" s="8"/>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row>
    <row r="151" spans="1:53" ht="15.75">
      <c r="A151" s="149"/>
      <c r="B151" s="305" t="s">
        <v>195</v>
      </c>
      <c r="C151" s="306"/>
      <c r="D151" s="271">
        <v>31</v>
      </c>
      <c r="E151" s="272"/>
      <c r="F151" s="278">
        <f t="shared" si="17"/>
        <v>14191.334570056357</v>
      </c>
      <c r="G151" s="279"/>
      <c r="H151" s="275">
        <f t="shared" si="13"/>
        <v>141.91334570056358</v>
      </c>
      <c r="I151" s="276"/>
      <c r="J151" s="277"/>
      <c r="K151" s="75">
        <f t="shared" si="18"/>
        <v>170.29601484067629</v>
      </c>
      <c r="L151" s="81" t="str">
        <f t="shared" si="14"/>
        <v>WIN</v>
      </c>
      <c r="M151" s="242">
        <f>IF(COUNTA($F$6:$F$10)=5,(F152-F24)/F24,"")</f>
        <v>0.43616305848970333</v>
      </c>
      <c r="N151" s="238">
        <f t="shared" si="15"/>
        <v>1</v>
      </c>
      <c r="O151" s="14" t="str">
        <f t="shared" si="16"/>
        <v>last</v>
      </c>
      <c r="P151" s="14"/>
      <c r="Q151" s="14"/>
      <c r="R151" s="14"/>
      <c r="S151" s="14"/>
      <c r="T151" s="14"/>
      <c r="U151" s="14"/>
      <c r="V151" s="14"/>
      <c r="W151" s="39">
        <f>IF(AND(L151="WIN",L152&lt;&gt;"WIN"),SUMIF(L$24:L151,"WIN",K$24:K151)-SUM(W$23:W150),"")</f>
        <v>170.29601484067643</v>
      </c>
      <c r="X151" s="41" t="str">
        <f>IF(AND(L151="LOSS",L152&lt;&gt;"LOSS"),SUMIF(L$24:L151,"LOSS",K$24:K151)-SUM(X$23:X150),"")</f>
        <v/>
      </c>
      <c r="Y151" s="8"/>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row>
    <row r="152" spans="1:53" ht="15.75">
      <c r="A152" s="149"/>
      <c r="B152" s="305" t="s">
        <v>196</v>
      </c>
      <c r="C152" s="306"/>
      <c r="D152" s="271">
        <v>92</v>
      </c>
      <c r="E152" s="272"/>
      <c r="F152" s="278">
        <f t="shared" si="17"/>
        <v>14361.630584897033</v>
      </c>
      <c r="G152" s="279"/>
      <c r="H152" s="275">
        <f t="shared" si="13"/>
        <v>143.61630584897034</v>
      </c>
      <c r="I152" s="276"/>
      <c r="J152" s="277"/>
      <c r="K152" s="75">
        <f t="shared" si="18"/>
        <v>-143.61630584897034</v>
      </c>
      <c r="L152" s="81" t="str">
        <f t="shared" si="14"/>
        <v>LOSS</v>
      </c>
      <c r="M152" s="242">
        <f>IF(COUNTA($F$6:$F$10)=5,(F153-F24)/F24,"")</f>
        <v>0.42180142790480624</v>
      </c>
      <c r="N152" s="238">
        <f t="shared" si="15"/>
        <v>1</v>
      </c>
      <c r="O152" s="14" t="str">
        <f t="shared" si="16"/>
        <v>new</v>
      </c>
      <c r="P152" s="14"/>
      <c r="Q152" s="14"/>
      <c r="R152" s="14"/>
      <c r="S152" s="14"/>
      <c r="T152" s="14"/>
      <c r="U152" s="14"/>
      <c r="V152" s="14"/>
      <c r="W152" s="39" t="str">
        <f>IF(AND(L152="WIN",L153&lt;&gt;"WIN"),SUMIF(L$24:L152,"WIN",K$24:K152)-SUM(W$23:W151),"")</f>
        <v/>
      </c>
      <c r="X152" s="41" t="str">
        <f>IF(AND(L152="LOSS",L153&lt;&gt;"LOSS"),SUMIF(L$24:L152,"LOSS",K$24:K152)-SUM(X$23:X151),"")</f>
        <v/>
      </c>
      <c r="Y152" s="8"/>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row>
    <row r="153" spans="1:53" ht="15.75">
      <c r="A153" s="149"/>
      <c r="B153" s="305" t="s">
        <v>197</v>
      </c>
      <c r="C153" s="306"/>
      <c r="D153" s="271">
        <v>66</v>
      </c>
      <c r="E153" s="272"/>
      <c r="F153" s="278">
        <f t="shared" si="17"/>
        <v>14218.014279048062</v>
      </c>
      <c r="G153" s="279"/>
      <c r="H153" s="275">
        <f t="shared" ref="H153:H216" si="19">IF(COUNTBLANK($F$6:$F$10),"",F153*$F$7)</f>
        <v>142.18014279048063</v>
      </c>
      <c r="I153" s="276"/>
      <c r="J153" s="277"/>
      <c r="K153" s="75">
        <f t="shared" si="18"/>
        <v>-142.18014279048063</v>
      </c>
      <c r="L153" s="81" t="str">
        <f t="shared" ref="L153:L216" si="20">IF(D153="","",IF(D153&lt;$F$8,"WIN","LOSS"))</f>
        <v>LOSS</v>
      </c>
      <c r="M153" s="242">
        <f>IF(COUNTA($F$6:$F$10)=5,(F154-F24)/F24,"")</f>
        <v>0.40758341362575812</v>
      </c>
      <c r="N153" s="238">
        <f t="shared" ref="N153:N216" si="21">IF(L153=L152,N152+1,1)</f>
        <v>2</v>
      </c>
      <c r="O153" s="14" t="str">
        <f t="shared" ref="O153:O216" si="22">IF(N153=1,IF(N154=1,"last","new"),IF(N154=1,"last","middle"))</f>
        <v>middle</v>
      </c>
      <c r="P153" s="14"/>
      <c r="Q153" s="14"/>
      <c r="R153" s="14"/>
      <c r="S153" s="14"/>
      <c r="T153" s="14"/>
      <c r="U153" s="14"/>
      <c r="V153" s="14"/>
      <c r="W153" s="39" t="str">
        <f>IF(AND(L153="WIN",L154&lt;&gt;"WIN"),SUMIF(L$24:L153,"WIN",K$24:K153)-SUM(W$23:W152),"")</f>
        <v/>
      </c>
      <c r="X153" s="41" t="str">
        <f>IF(AND(L153="LOSS",L154&lt;&gt;"LOSS"),SUMIF(L$24:L153,"LOSS",K$24:K153)-SUM(X$23:X152),"")</f>
        <v/>
      </c>
      <c r="Y153" s="8"/>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row>
    <row r="154" spans="1:53" ht="15.75">
      <c r="A154" s="149"/>
      <c r="B154" s="305" t="s">
        <v>198</v>
      </c>
      <c r="C154" s="306"/>
      <c r="D154" s="271">
        <v>89</v>
      </c>
      <c r="E154" s="272"/>
      <c r="F154" s="278">
        <f t="shared" ref="F154:F217" si="23">IF(COUNTBLANK($F$6:$F$10),"",IF(D153&lt;$F$8,(1+$F$7*$F$9)*F153-$F$10,(1-$F$7)*F153-$F$10))</f>
        <v>14075.834136257581</v>
      </c>
      <c r="G154" s="279"/>
      <c r="H154" s="275">
        <f t="shared" si="19"/>
        <v>140.75834136257581</v>
      </c>
      <c r="I154" s="276"/>
      <c r="J154" s="277"/>
      <c r="K154" s="75">
        <f t="shared" ref="K154:K217" si="24">IF(COUNTBLANK($F$6:$F$10),"", IF(L154="win", H154*$F$9-$F$10, IF(L154="loss", -H154-$F$10)))</f>
        <v>-140.75834136257581</v>
      </c>
      <c r="L154" s="81" t="str">
        <f t="shared" si="20"/>
        <v>LOSS</v>
      </c>
      <c r="M154" s="242">
        <f>IF(COUNTA($F$6:$F$10)=5,(F155-F24)/F24,"")</f>
        <v>0.39350757948950049</v>
      </c>
      <c r="N154" s="238">
        <f t="shared" si="21"/>
        <v>3</v>
      </c>
      <c r="O154" s="14" t="str">
        <f t="shared" si="22"/>
        <v>last</v>
      </c>
      <c r="P154" s="14"/>
      <c r="Q154" s="14"/>
      <c r="R154" s="14"/>
      <c r="S154" s="14"/>
      <c r="T154" s="14"/>
      <c r="U154" s="14"/>
      <c r="V154" s="14"/>
      <c r="W154" s="39" t="str">
        <f>IF(AND(L154="WIN",L155&lt;&gt;"WIN"),SUMIF(L$24:L154,"WIN",K$24:K154)-SUM(W$23:W153),"")</f>
        <v/>
      </c>
      <c r="X154" s="41">
        <f>IF(AND(L154="LOSS",L155&lt;&gt;"LOSS"),SUMIF(L$24:L154,"LOSS",K$24:K154)-SUM(X$23:X153),"")</f>
        <v>-426.55479000202649</v>
      </c>
      <c r="Y154" s="8"/>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row>
    <row r="155" spans="1:53" ht="15.75">
      <c r="A155" s="149"/>
      <c r="B155" s="305" t="s">
        <v>199</v>
      </c>
      <c r="C155" s="306"/>
      <c r="D155" s="271">
        <v>24</v>
      </c>
      <c r="E155" s="272"/>
      <c r="F155" s="278">
        <f t="shared" si="23"/>
        <v>13935.075794895005</v>
      </c>
      <c r="G155" s="279"/>
      <c r="H155" s="275">
        <f t="shared" si="19"/>
        <v>139.35075794895005</v>
      </c>
      <c r="I155" s="276"/>
      <c r="J155" s="277"/>
      <c r="K155" s="75">
        <f t="shared" si="24"/>
        <v>167.22090953874005</v>
      </c>
      <c r="L155" s="81" t="str">
        <f t="shared" si="20"/>
        <v>WIN</v>
      </c>
      <c r="M155" s="242">
        <f>IF(COUNTA($F$6:$F$10)=5,(F156-F24)/F24,"")</f>
        <v>0.41022967044337455</v>
      </c>
      <c r="N155" s="238">
        <f t="shared" si="21"/>
        <v>1</v>
      </c>
      <c r="O155" s="14" t="str">
        <f t="shared" si="22"/>
        <v>last</v>
      </c>
      <c r="P155" s="14"/>
      <c r="Q155" s="14"/>
      <c r="R155" s="14"/>
      <c r="S155" s="14"/>
      <c r="T155" s="14"/>
      <c r="U155" s="14"/>
      <c r="V155" s="14"/>
      <c r="W155" s="39">
        <f>IF(AND(L155="WIN",L156&lt;&gt;"WIN"),SUMIF(L$24:L155,"WIN",K$24:K155)-SUM(W$23:W154),"")</f>
        <v>167.22090953874067</v>
      </c>
      <c r="X155" s="41" t="str">
        <f>IF(AND(L155="LOSS",L156&lt;&gt;"LOSS"),SUMIF(L$24:L155,"LOSS",K$24:K155)-SUM(X$23:X154),"")</f>
        <v/>
      </c>
      <c r="Y155" s="8"/>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row>
    <row r="156" spans="1:53" ht="15.75">
      <c r="A156" s="149"/>
      <c r="B156" s="305" t="s">
        <v>200</v>
      </c>
      <c r="C156" s="306"/>
      <c r="D156" s="271">
        <v>55</v>
      </c>
      <c r="E156" s="272"/>
      <c r="F156" s="278">
        <f t="shared" si="23"/>
        <v>14102.296704433746</v>
      </c>
      <c r="G156" s="279"/>
      <c r="H156" s="275">
        <f t="shared" si="19"/>
        <v>141.02296704433746</v>
      </c>
      <c r="I156" s="276"/>
      <c r="J156" s="277"/>
      <c r="K156" s="75">
        <f t="shared" si="24"/>
        <v>-141.02296704433746</v>
      </c>
      <c r="L156" s="81" t="str">
        <f t="shared" si="20"/>
        <v>LOSS</v>
      </c>
      <c r="M156" s="242">
        <f>IF(COUNTA($F$6:$F$10)=5,(F157-F24)/F24,"")</f>
        <v>0.39612737373894086</v>
      </c>
      <c r="N156" s="238">
        <f t="shared" si="21"/>
        <v>1</v>
      </c>
      <c r="O156" s="14" t="str">
        <f t="shared" si="22"/>
        <v>new</v>
      </c>
      <c r="P156" s="14"/>
      <c r="Q156" s="14"/>
      <c r="R156" s="14"/>
      <c r="S156" s="14"/>
      <c r="T156" s="14"/>
      <c r="U156" s="14"/>
      <c r="V156" s="14"/>
      <c r="W156" s="39" t="str">
        <f>IF(AND(L156="WIN",L157&lt;&gt;"WIN"),SUMIF(L$24:L156,"WIN",K$24:K156)-SUM(W$23:W155),"")</f>
        <v/>
      </c>
      <c r="X156" s="41" t="str">
        <f>IF(AND(L156="LOSS",L157&lt;&gt;"LOSS"),SUMIF(L$24:L156,"LOSS",K$24:K156)-SUM(X$23:X155),"")</f>
        <v/>
      </c>
      <c r="Y156" s="8"/>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row>
    <row r="157" spans="1:53" ht="15.75">
      <c r="A157" s="149"/>
      <c r="B157" s="305" t="s">
        <v>201</v>
      </c>
      <c r="C157" s="306"/>
      <c r="D157" s="271">
        <v>79</v>
      </c>
      <c r="E157" s="272"/>
      <c r="F157" s="278">
        <f t="shared" si="23"/>
        <v>13961.273737389409</v>
      </c>
      <c r="G157" s="279"/>
      <c r="H157" s="275">
        <f t="shared" si="19"/>
        <v>139.61273737389408</v>
      </c>
      <c r="I157" s="276"/>
      <c r="J157" s="277"/>
      <c r="K157" s="75">
        <f t="shared" si="24"/>
        <v>-139.61273737389408</v>
      </c>
      <c r="L157" s="81" t="str">
        <f t="shared" si="20"/>
        <v>LOSS</v>
      </c>
      <c r="M157" s="242">
        <f>IF(COUNTA($F$6:$F$10)=5,(F158-F24)/F24,"")</f>
        <v>0.38216610000155143</v>
      </c>
      <c r="N157" s="238">
        <f t="shared" si="21"/>
        <v>2</v>
      </c>
      <c r="O157" s="14" t="str">
        <f t="shared" si="22"/>
        <v>last</v>
      </c>
      <c r="P157" s="14"/>
      <c r="Q157" s="14"/>
      <c r="R157" s="14"/>
      <c r="S157" s="14"/>
      <c r="T157" s="14"/>
      <c r="U157" s="14"/>
      <c r="V157" s="14"/>
      <c r="W157" s="39" t="str">
        <f>IF(AND(L157="WIN",L158&lt;&gt;"WIN"),SUMIF(L$24:L157,"WIN",K$24:K157)-SUM(W$23:W156),"")</f>
        <v/>
      </c>
      <c r="X157" s="41">
        <f>IF(AND(L157="LOSS",L158&lt;&gt;"LOSS"),SUMIF(L$24:L157,"LOSS",K$24:K157)-SUM(X$23:X156),"")</f>
        <v>-280.6357044182314</v>
      </c>
      <c r="Y157" s="8"/>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row>
    <row r="158" spans="1:53" ht="15.75">
      <c r="A158" s="149"/>
      <c r="B158" s="305" t="s">
        <v>202</v>
      </c>
      <c r="C158" s="306"/>
      <c r="D158" s="271">
        <v>17</v>
      </c>
      <c r="E158" s="272"/>
      <c r="F158" s="278">
        <f t="shared" si="23"/>
        <v>13821.661000015514</v>
      </c>
      <c r="G158" s="279"/>
      <c r="H158" s="275">
        <f t="shared" si="19"/>
        <v>138.21661000015516</v>
      </c>
      <c r="I158" s="276"/>
      <c r="J158" s="277"/>
      <c r="K158" s="75">
        <f t="shared" si="24"/>
        <v>165.85993200018618</v>
      </c>
      <c r="L158" s="81" t="str">
        <f t="shared" si="20"/>
        <v>WIN</v>
      </c>
      <c r="M158" s="242">
        <f>IF(COUNTA($F$6:$F$10)=5,(F159-F24)/F24,"")</f>
        <v>0.39875209320157012</v>
      </c>
      <c r="N158" s="238">
        <f t="shared" si="21"/>
        <v>1</v>
      </c>
      <c r="O158" s="14" t="str">
        <f t="shared" si="22"/>
        <v>new</v>
      </c>
      <c r="P158" s="14"/>
      <c r="Q158" s="14"/>
      <c r="R158" s="14"/>
      <c r="S158" s="14"/>
      <c r="T158" s="14"/>
      <c r="U158" s="14"/>
      <c r="V158" s="14"/>
      <c r="W158" s="39" t="str">
        <f>IF(AND(L158="WIN",L159&lt;&gt;"WIN"),SUMIF(L$24:L158,"WIN",K$24:K158)-SUM(W$23:W157),"")</f>
        <v/>
      </c>
      <c r="X158" s="41" t="str">
        <f>IF(AND(L158="LOSS",L159&lt;&gt;"LOSS"),SUMIF(L$24:L158,"LOSS",K$24:K158)-SUM(X$23:X157),"")</f>
        <v/>
      </c>
      <c r="Y158" s="8"/>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row>
    <row r="159" spans="1:53" ht="15.75">
      <c r="A159" s="149"/>
      <c r="B159" s="305" t="s">
        <v>203</v>
      </c>
      <c r="C159" s="306"/>
      <c r="D159" s="271">
        <v>30</v>
      </c>
      <c r="E159" s="272"/>
      <c r="F159" s="278">
        <f t="shared" si="23"/>
        <v>13987.520932015701</v>
      </c>
      <c r="G159" s="279"/>
      <c r="H159" s="275">
        <f t="shared" si="19"/>
        <v>139.87520932015701</v>
      </c>
      <c r="I159" s="276"/>
      <c r="J159" s="277"/>
      <c r="K159" s="75">
        <f t="shared" si="24"/>
        <v>167.85025118418841</v>
      </c>
      <c r="L159" s="81" t="str">
        <f t="shared" si="20"/>
        <v>WIN</v>
      </c>
      <c r="M159" s="242">
        <f>IF(COUNTA($F$6:$F$10)=5,(F160-F24)/F24,"")</f>
        <v>0.41553711831998896</v>
      </c>
      <c r="N159" s="238">
        <f t="shared" si="21"/>
        <v>2</v>
      </c>
      <c r="O159" s="14" t="str">
        <f t="shared" si="22"/>
        <v>last</v>
      </c>
      <c r="P159" s="14"/>
      <c r="Q159" s="14"/>
      <c r="R159" s="14"/>
      <c r="S159" s="14"/>
      <c r="T159" s="14"/>
      <c r="U159" s="14"/>
      <c r="V159" s="14"/>
      <c r="W159" s="39">
        <f>IF(AND(L159="WIN",L160&lt;&gt;"WIN"),SUMIF(L$24:L159,"WIN",K$24:K159)-SUM(W$23:W158),"")</f>
        <v>333.71018318437564</v>
      </c>
      <c r="X159" s="41" t="str">
        <f>IF(AND(L159="LOSS",L160&lt;&gt;"LOSS"),SUMIF(L$24:L159,"LOSS",K$24:K159)-SUM(X$23:X158),"")</f>
        <v/>
      </c>
      <c r="Y159" s="8"/>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row>
    <row r="160" spans="1:53" ht="15.75">
      <c r="A160" s="149"/>
      <c r="B160" s="305" t="s">
        <v>204</v>
      </c>
      <c r="C160" s="306"/>
      <c r="D160" s="271">
        <v>83</v>
      </c>
      <c r="E160" s="272"/>
      <c r="F160" s="278">
        <f t="shared" si="23"/>
        <v>14155.37118319989</v>
      </c>
      <c r="G160" s="279"/>
      <c r="H160" s="275">
        <f t="shared" si="19"/>
        <v>141.5537118319989</v>
      </c>
      <c r="I160" s="276"/>
      <c r="J160" s="277"/>
      <c r="K160" s="75">
        <f t="shared" si="24"/>
        <v>-141.5537118319989</v>
      </c>
      <c r="L160" s="81" t="str">
        <f t="shared" si="20"/>
        <v>LOSS</v>
      </c>
      <c r="M160" s="242">
        <f>IF(COUNTA($F$6:$F$10)=5,(F161-F24)/F24,"")</f>
        <v>0.40138174713678909</v>
      </c>
      <c r="N160" s="238">
        <f t="shared" si="21"/>
        <v>1</v>
      </c>
      <c r="O160" s="14" t="str">
        <f t="shared" si="22"/>
        <v>last</v>
      </c>
      <c r="P160" s="14"/>
      <c r="Q160" s="14"/>
      <c r="R160" s="14"/>
      <c r="S160" s="14"/>
      <c r="T160" s="14"/>
      <c r="U160" s="14"/>
      <c r="V160" s="14"/>
      <c r="W160" s="39" t="str">
        <f>IF(AND(L160="WIN",L161&lt;&gt;"WIN"),SUMIF(L$24:L160,"WIN",K$24:K160)-SUM(W$23:W159),"")</f>
        <v/>
      </c>
      <c r="X160" s="41">
        <f>IF(AND(L160="LOSS",L161&lt;&gt;"LOSS"),SUMIF(L$24:L160,"LOSS",K$24:K160)-SUM(X$23:X159),"")</f>
        <v>-141.55371183199895</v>
      </c>
      <c r="Y160" s="8"/>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row>
    <row r="161" spans="1:53" ht="15.75">
      <c r="A161" s="149"/>
      <c r="B161" s="305" t="s">
        <v>205</v>
      </c>
      <c r="C161" s="306"/>
      <c r="D161" s="271">
        <v>35</v>
      </c>
      <c r="E161" s="272"/>
      <c r="F161" s="278">
        <f t="shared" si="23"/>
        <v>14013.817471367891</v>
      </c>
      <c r="G161" s="279"/>
      <c r="H161" s="275">
        <f t="shared" si="19"/>
        <v>140.13817471367892</v>
      </c>
      <c r="I161" s="276"/>
      <c r="J161" s="277"/>
      <c r="K161" s="75">
        <f t="shared" si="24"/>
        <v>168.16580965641469</v>
      </c>
      <c r="L161" s="81" t="str">
        <f t="shared" si="20"/>
        <v>WIN</v>
      </c>
      <c r="M161" s="242">
        <f>IF(COUNTA($F$6:$F$10)=5,(F162-F24)/F24,"")</f>
        <v>0.41819832810243063</v>
      </c>
      <c r="N161" s="238">
        <f t="shared" si="21"/>
        <v>1</v>
      </c>
      <c r="O161" s="14" t="str">
        <f t="shared" si="22"/>
        <v>last</v>
      </c>
      <c r="P161" s="14"/>
      <c r="Q161" s="14"/>
      <c r="R161" s="14"/>
      <c r="S161" s="14"/>
      <c r="T161" s="14"/>
      <c r="U161" s="14"/>
      <c r="V161" s="14"/>
      <c r="W161" s="39">
        <f>IF(AND(L161="WIN",L162&lt;&gt;"WIN"),SUMIF(L$24:L161,"WIN",K$24:K161)-SUM(W$23:W160),"")</f>
        <v>168.16580965641515</v>
      </c>
      <c r="X161" s="41" t="str">
        <f>IF(AND(L161="LOSS",L162&lt;&gt;"LOSS"),SUMIF(L$24:L161,"LOSS",K$24:K161)-SUM(X$23:X160),"")</f>
        <v/>
      </c>
      <c r="Y161" s="8"/>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row>
    <row r="162" spans="1:53" ht="15.75">
      <c r="A162" s="149"/>
      <c r="B162" s="305" t="s">
        <v>206</v>
      </c>
      <c r="C162" s="306"/>
      <c r="D162" s="271">
        <v>87</v>
      </c>
      <c r="E162" s="272"/>
      <c r="F162" s="278">
        <f t="shared" si="23"/>
        <v>14181.983281024306</v>
      </c>
      <c r="G162" s="279"/>
      <c r="H162" s="275">
        <f t="shared" si="19"/>
        <v>141.81983281024307</v>
      </c>
      <c r="I162" s="276"/>
      <c r="J162" s="277"/>
      <c r="K162" s="75">
        <f t="shared" si="24"/>
        <v>-141.81983281024307</v>
      </c>
      <c r="L162" s="81" t="str">
        <f t="shared" si="20"/>
        <v>LOSS</v>
      </c>
      <c r="M162" s="242">
        <f>IF(COUNTA($F$6:$F$10)=5,(F163-F24)/F24,"")</f>
        <v>0.40401634482140636</v>
      </c>
      <c r="N162" s="238">
        <f t="shared" si="21"/>
        <v>1</v>
      </c>
      <c r="O162" s="14" t="str">
        <f t="shared" si="22"/>
        <v>new</v>
      </c>
      <c r="P162" s="14"/>
      <c r="Q162" s="14"/>
      <c r="R162" s="14"/>
      <c r="S162" s="14"/>
      <c r="T162" s="14"/>
      <c r="U162" s="14"/>
      <c r="V162" s="14"/>
      <c r="W162" s="39" t="str">
        <f>IF(AND(L162="WIN",L163&lt;&gt;"WIN"),SUMIF(L$24:L162,"WIN",K$24:K162)-SUM(W$23:W161),"")</f>
        <v/>
      </c>
      <c r="X162" s="41" t="str">
        <f>IF(AND(L162="LOSS",L163&lt;&gt;"LOSS"),SUMIF(L$24:L162,"LOSS",K$24:K162)-SUM(X$23:X161),"")</f>
        <v/>
      </c>
      <c r="Y162" s="8"/>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row>
    <row r="163" spans="1:53" ht="15.75">
      <c r="A163" s="149"/>
      <c r="B163" s="305" t="s">
        <v>207</v>
      </c>
      <c r="C163" s="306"/>
      <c r="D163" s="271">
        <v>87</v>
      </c>
      <c r="E163" s="272"/>
      <c r="F163" s="278">
        <f t="shared" si="23"/>
        <v>14040.163448214063</v>
      </c>
      <c r="G163" s="279"/>
      <c r="H163" s="275">
        <f t="shared" si="19"/>
        <v>140.40163448214065</v>
      </c>
      <c r="I163" s="276"/>
      <c r="J163" s="277"/>
      <c r="K163" s="75">
        <f t="shared" si="24"/>
        <v>-140.40163448214065</v>
      </c>
      <c r="L163" s="81" t="str">
        <f t="shared" si="20"/>
        <v>LOSS</v>
      </c>
      <c r="M163" s="242">
        <f>IF(COUNTA($F$6:$F$10)=5,(F164-F24)/F24,"")</f>
        <v>0.38997618137319223</v>
      </c>
      <c r="N163" s="238">
        <f t="shared" si="21"/>
        <v>2</v>
      </c>
      <c r="O163" s="14" t="str">
        <f t="shared" si="22"/>
        <v>middle</v>
      </c>
      <c r="P163" s="14"/>
      <c r="Q163" s="14"/>
      <c r="R163" s="14"/>
      <c r="S163" s="14"/>
      <c r="T163" s="14"/>
      <c r="U163" s="14"/>
      <c r="V163" s="14"/>
      <c r="W163" s="39" t="str">
        <f>IF(AND(L163="WIN",L164&lt;&gt;"WIN"),SUMIF(L$24:L163,"WIN",K$24:K163)-SUM(W$23:W162),"")</f>
        <v/>
      </c>
      <c r="X163" s="41" t="str">
        <f>IF(AND(L163="LOSS",L164&lt;&gt;"LOSS"),SUMIF(L$24:L163,"LOSS",K$24:K163)-SUM(X$23:X162),"")</f>
        <v/>
      </c>
      <c r="Y163" s="8"/>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row>
    <row r="164" spans="1:53" ht="15.75">
      <c r="A164" s="149"/>
      <c r="B164" s="305" t="s">
        <v>208</v>
      </c>
      <c r="C164" s="306"/>
      <c r="D164" s="271">
        <v>61</v>
      </c>
      <c r="E164" s="272"/>
      <c r="F164" s="278">
        <f t="shared" si="23"/>
        <v>13899.761813731922</v>
      </c>
      <c r="G164" s="279"/>
      <c r="H164" s="275">
        <f t="shared" si="19"/>
        <v>138.99761813731922</v>
      </c>
      <c r="I164" s="276"/>
      <c r="J164" s="277"/>
      <c r="K164" s="75">
        <f t="shared" si="24"/>
        <v>-138.99761813731922</v>
      </c>
      <c r="L164" s="81" t="str">
        <f t="shared" si="20"/>
        <v>LOSS</v>
      </c>
      <c r="M164" s="242">
        <f>IF(COUNTA($F$6:$F$10)=5,(F165-F24)/F24,"")</f>
        <v>0.37607641955946036</v>
      </c>
      <c r="N164" s="238">
        <f t="shared" si="21"/>
        <v>3</v>
      </c>
      <c r="O164" s="14" t="str">
        <f t="shared" si="22"/>
        <v>middle</v>
      </c>
      <c r="P164" s="14"/>
      <c r="Q164" s="14"/>
      <c r="R164" s="14"/>
      <c r="S164" s="14"/>
      <c r="T164" s="14"/>
      <c r="U164" s="14"/>
      <c r="V164" s="14"/>
      <c r="W164" s="39" t="str">
        <f>IF(AND(L164="WIN",L165&lt;&gt;"WIN"),SUMIF(L$24:L164,"WIN",K$24:K164)-SUM(W$23:W163),"")</f>
        <v/>
      </c>
      <c r="X164" s="41" t="str">
        <f>IF(AND(L164="LOSS",L165&lt;&gt;"LOSS"),SUMIF(L$24:L164,"LOSS",K$24:K164)-SUM(X$23:X163),"")</f>
        <v/>
      </c>
      <c r="Y164" s="8"/>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row>
    <row r="165" spans="1:53" ht="15.75">
      <c r="A165" s="149"/>
      <c r="B165" s="305" t="s">
        <v>209</v>
      </c>
      <c r="C165" s="306"/>
      <c r="D165" s="271">
        <v>93</v>
      </c>
      <c r="E165" s="272"/>
      <c r="F165" s="278">
        <f t="shared" si="23"/>
        <v>13760.764195594604</v>
      </c>
      <c r="G165" s="279"/>
      <c r="H165" s="275">
        <f t="shared" si="19"/>
        <v>137.60764195594604</v>
      </c>
      <c r="I165" s="276"/>
      <c r="J165" s="277"/>
      <c r="K165" s="75">
        <f t="shared" si="24"/>
        <v>-137.60764195594604</v>
      </c>
      <c r="L165" s="81" t="str">
        <f t="shared" si="20"/>
        <v>LOSS</v>
      </c>
      <c r="M165" s="242">
        <f>IF(COUNTA($F$6:$F$10)=5,(F166-F24)/F24,"")</f>
        <v>0.36231565536386567</v>
      </c>
      <c r="N165" s="238">
        <f t="shared" si="21"/>
        <v>4</v>
      </c>
      <c r="O165" s="14" t="str">
        <f t="shared" si="22"/>
        <v>last</v>
      </c>
      <c r="P165" s="14"/>
      <c r="Q165" s="14"/>
      <c r="R165" s="14"/>
      <c r="S165" s="14"/>
      <c r="T165" s="14"/>
      <c r="U165" s="14"/>
      <c r="V165" s="14"/>
      <c r="W165" s="39" t="str">
        <f>IF(AND(L165="WIN",L166&lt;&gt;"WIN"),SUMIF(L$24:L165,"WIN",K$24:K165)-SUM(W$23:W164),"")</f>
        <v/>
      </c>
      <c r="X165" s="41">
        <f>IF(AND(L165="LOSS",L166&lt;&gt;"LOSS"),SUMIF(L$24:L165,"LOSS",K$24:K165)-SUM(X$23:X164),"")</f>
        <v>-558.82672738564906</v>
      </c>
      <c r="Y165" s="8"/>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row>
    <row r="166" spans="1:53" ht="15.75">
      <c r="A166" s="149"/>
      <c r="B166" s="305" t="s">
        <v>210</v>
      </c>
      <c r="C166" s="306"/>
      <c r="D166" s="271">
        <v>46</v>
      </c>
      <c r="E166" s="272"/>
      <c r="F166" s="278">
        <f t="shared" si="23"/>
        <v>13623.156553638657</v>
      </c>
      <c r="G166" s="279"/>
      <c r="H166" s="275">
        <f t="shared" si="19"/>
        <v>136.23156553638657</v>
      </c>
      <c r="I166" s="276"/>
      <c r="J166" s="277"/>
      <c r="K166" s="75">
        <f t="shared" si="24"/>
        <v>163.47787864366387</v>
      </c>
      <c r="L166" s="81" t="str">
        <f t="shared" si="20"/>
        <v>WIN</v>
      </c>
      <c r="M166" s="242">
        <f>IF(COUNTA($F$6:$F$10)=5,(F167-F24)/F24,"")</f>
        <v>0.37866344322823209</v>
      </c>
      <c r="N166" s="238">
        <f t="shared" si="21"/>
        <v>1</v>
      </c>
      <c r="O166" s="14" t="str">
        <f t="shared" si="22"/>
        <v>new</v>
      </c>
      <c r="P166" s="14"/>
      <c r="Q166" s="14"/>
      <c r="R166" s="14"/>
      <c r="S166" s="14"/>
      <c r="T166" s="14"/>
      <c r="U166" s="14"/>
      <c r="V166" s="14"/>
      <c r="W166" s="39" t="str">
        <f>IF(AND(L166="WIN",L167&lt;&gt;"WIN"),SUMIF(L$24:L166,"WIN",K$24:K166)-SUM(W$23:W165),"")</f>
        <v/>
      </c>
      <c r="X166" s="41" t="str">
        <f>IF(AND(L166="LOSS",L167&lt;&gt;"LOSS"),SUMIF(L$24:L166,"LOSS",K$24:K166)-SUM(X$23:X165),"")</f>
        <v/>
      </c>
      <c r="Y166" s="8"/>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row>
    <row r="167" spans="1:53" ht="15.75">
      <c r="A167" s="149"/>
      <c r="B167" s="305" t="s">
        <v>211</v>
      </c>
      <c r="C167" s="306"/>
      <c r="D167" s="271">
        <v>9</v>
      </c>
      <c r="E167" s="272"/>
      <c r="F167" s="278">
        <f t="shared" si="23"/>
        <v>13786.634432282321</v>
      </c>
      <c r="G167" s="279"/>
      <c r="H167" s="275">
        <f t="shared" si="19"/>
        <v>137.86634432282321</v>
      </c>
      <c r="I167" s="276"/>
      <c r="J167" s="277"/>
      <c r="K167" s="75">
        <f t="shared" si="24"/>
        <v>165.43961318738783</v>
      </c>
      <c r="L167" s="81" t="str">
        <f t="shared" si="20"/>
        <v>WIN</v>
      </c>
      <c r="M167" s="242">
        <f>IF(COUNTA($F$6:$F$10)=5,(F168-F24)/F24,"")</f>
        <v>0.39520740454697079</v>
      </c>
      <c r="N167" s="238">
        <f t="shared" si="21"/>
        <v>2</v>
      </c>
      <c r="O167" s="14" t="str">
        <f t="shared" si="22"/>
        <v>middle</v>
      </c>
      <c r="P167" s="14"/>
      <c r="Q167" s="14"/>
      <c r="R167" s="14"/>
      <c r="S167" s="14"/>
      <c r="T167" s="14"/>
      <c r="U167" s="14"/>
      <c r="V167" s="14"/>
      <c r="W167" s="39" t="str">
        <f>IF(AND(L167="WIN",L168&lt;&gt;"WIN"),SUMIF(L$24:L167,"WIN",K$24:K167)-SUM(W$23:W166),"")</f>
        <v/>
      </c>
      <c r="X167" s="41" t="str">
        <f>IF(AND(L167="LOSS",L168&lt;&gt;"LOSS"),SUMIF(L$24:L167,"LOSS",K$24:K167)-SUM(X$23:X166),"")</f>
        <v/>
      </c>
      <c r="Y167" s="8"/>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row>
    <row r="168" spans="1:53" ht="15.75">
      <c r="A168" s="149"/>
      <c r="B168" s="305" t="s">
        <v>212</v>
      </c>
      <c r="C168" s="306"/>
      <c r="D168" s="271">
        <v>4</v>
      </c>
      <c r="E168" s="272"/>
      <c r="F168" s="278">
        <f t="shared" si="23"/>
        <v>13952.074045469708</v>
      </c>
      <c r="G168" s="279"/>
      <c r="H168" s="275">
        <f t="shared" si="19"/>
        <v>139.52074045469709</v>
      </c>
      <c r="I168" s="276"/>
      <c r="J168" s="277"/>
      <c r="K168" s="75">
        <f t="shared" si="24"/>
        <v>167.42488854563649</v>
      </c>
      <c r="L168" s="81" t="str">
        <f t="shared" si="20"/>
        <v>WIN</v>
      </c>
      <c r="M168" s="242">
        <f>IF(COUNTA($F$6:$F$10)=5,(F169-F24)/F24,"")</f>
        <v>0.41194989340153443</v>
      </c>
      <c r="N168" s="238">
        <f t="shared" si="21"/>
        <v>3</v>
      </c>
      <c r="O168" s="14" t="str">
        <f t="shared" si="22"/>
        <v>middle</v>
      </c>
      <c r="P168" s="14"/>
      <c r="Q168" s="14"/>
      <c r="R168" s="14"/>
      <c r="S168" s="14"/>
      <c r="T168" s="14"/>
      <c r="U168" s="14"/>
      <c r="V168" s="14"/>
      <c r="W168" s="39" t="str">
        <f>IF(AND(L168="WIN",L169&lt;&gt;"WIN"),SUMIF(L$24:L168,"WIN",K$24:K168)-SUM(W$23:W167),"")</f>
        <v/>
      </c>
      <c r="X168" s="41" t="str">
        <f>IF(AND(L168="LOSS",L169&lt;&gt;"LOSS"),SUMIF(L$24:L168,"LOSS",K$24:K168)-SUM(X$23:X167),"")</f>
        <v/>
      </c>
      <c r="Y168" s="8"/>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row>
    <row r="169" spans="1:53" ht="15.75">
      <c r="A169" s="149"/>
      <c r="B169" s="305" t="s">
        <v>213</v>
      </c>
      <c r="C169" s="306"/>
      <c r="D169" s="271">
        <v>32</v>
      </c>
      <c r="E169" s="272"/>
      <c r="F169" s="278">
        <f t="shared" si="23"/>
        <v>14119.498934015344</v>
      </c>
      <c r="G169" s="279"/>
      <c r="H169" s="275">
        <f t="shared" si="19"/>
        <v>141.19498934015346</v>
      </c>
      <c r="I169" s="276"/>
      <c r="J169" s="277"/>
      <c r="K169" s="75">
        <f t="shared" si="24"/>
        <v>169.43398720818413</v>
      </c>
      <c r="L169" s="81" t="str">
        <f t="shared" si="20"/>
        <v>WIN</v>
      </c>
      <c r="M169" s="242">
        <f>IF(COUNTA($F$6:$F$10)=5,(F170-F24)/F24,"")</f>
        <v>0.42889329212235278</v>
      </c>
      <c r="N169" s="238">
        <f t="shared" si="21"/>
        <v>4</v>
      </c>
      <c r="O169" s="14" t="str">
        <f t="shared" si="22"/>
        <v>last</v>
      </c>
      <c r="P169" s="14"/>
      <c r="Q169" s="14"/>
      <c r="R169" s="14"/>
      <c r="S169" s="14"/>
      <c r="T169" s="14"/>
      <c r="U169" s="14"/>
      <c r="V169" s="14"/>
      <c r="W169" s="39">
        <f>IF(AND(L169="WIN",L170&lt;&gt;"WIN"),SUMIF(L$24:L169,"WIN",K$24:K169)-SUM(W$23:W168),"")</f>
        <v>665.77636758487097</v>
      </c>
      <c r="X169" s="41" t="str">
        <f>IF(AND(L169="LOSS",L170&lt;&gt;"LOSS"),SUMIF(L$24:L169,"LOSS",K$24:K169)-SUM(X$23:X168),"")</f>
        <v/>
      </c>
      <c r="Y169" s="8"/>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row>
    <row r="170" spans="1:53" ht="15.75">
      <c r="A170" s="149"/>
      <c r="B170" s="305" t="s">
        <v>214</v>
      </c>
      <c r="C170" s="306"/>
      <c r="D170" s="271">
        <v>84</v>
      </c>
      <c r="E170" s="272"/>
      <c r="F170" s="278">
        <f t="shared" si="23"/>
        <v>14288.932921223528</v>
      </c>
      <c r="G170" s="279"/>
      <c r="H170" s="275">
        <f t="shared" si="19"/>
        <v>142.88932921223528</v>
      </c>
      <c r="I170" s="276"/>
      <c r="J170" s="277"/>
      <c r="K170" s="75">
        <f t="shared" si="24"/>
        <v>-142.88932921223528</v>
      </c>
      <c r="L170" s="81" t="str">
        <f t="shared" si="20"/>
        <v>LOSS</v>
      </c>
      <c r="M170" s="242">
        <f>IF(COUNTA($F$6:$F$10)=5,(F171-F24)/F24,"")</f>
        <v>0.4146043592011292</v>
      </c>
      <c r="N170" s="238">
        <f t="shared" si="21"/>
        <v>1</v>
      </c>
      <c r="O170" s="14" t="str">
        <f t="shared" si="22"/>
        <v>new</v>
      </c>
      <c r="P170" s="14"/>
      <c r="Q170" s="14"/>
      <c r="R170" s="14"/>
      <c r="S170" s="14"/>
      <c r="T170" s="14"/>
      <c r="U170" s="14"/>
      <c r="V170" s="14"/>
      <c r="W170" s="39" t="str">
        <f>IF(AND(L170="WIN",L171&lt;&gt;"WIN"),SUMIF(L$24:L170,"WIN",K$24:K170)-SUM(W$23:W169),"")</f>
        <v/>
      </c>
      <c r="X170" s="41" t="str">
        <f>IF(AND(L170="LOSS",L171&lt;&gt;"LOSS"),SUMIF(L$24:L170,"LOSS",K$24:K170)-SUM(X$23:X169),"")</f>
        <v/>
      </c>
      <c r="Y170" s="8"/>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row>
    <row r="171" spans="1:53" ht="15.75">
      <c r="A171" s="149"/>
      <c r="B171" s="305" t="s">
        <v>215</v>
      </c>
      <c r="C171" s="306"/>
      <c r="D171" s="271">
        <v>100</v>
      </c>
      <c r="E171" s="272"/>
      <c r="F171" s="278">
        <f t="shared" si="23"/>
        <v>14146.043592011292</v>
      </c>
      <c r="G171" s="279"/>
      <c r="H171" s="275">
        <f t="shared" si="19"/>
        <v>141.46043592011293</v>
      </c>
      <c r="I171" s="276"/>
      <c r="J171" s="277"/>
      <c r="K171" s="75">
        <f t="shared" si="24"/>
        <v>-141.46043592011293</v>
      </c>
      <c r="L171" s="81" t="str">
        <f t="shared" si="20"/>
        <v>LOSS</v>
      </c>
      <c r="M171" s="242">
        <f>IF(COUNTA($F$6:$F$10)=5,(F172-F24)/F24,"")</f>
        <v>0.40045831560911793</v>
      </c>
      <c r="N171" s="238">
        <f t="shared" si="21"/>
        <v>2</v>
      </c>
      <c r="O171" s="14" t="str">
        <f t="shared" si="22"/>
        <v>middle</v>
      </c>
      <c r="P171" s="14"/>
      <c r="Q171" s="14"/>
      <c r="R171" s="14"/>
      <c r="S171" s="14"/>
      <c r="T171" s="14"/>
      <c r="U171" s="14"/>
      <c r="V171" s="14"/>
      <c r="W171" s="39" t="str">
        <f>IF(AND(L171="WIN",L172&lt;&gt;"WIN"),SUMIF(L$24:L171,"WIN",K$24:K171)-SUM(W$23:W170),"")</f>
        <v/>
      </c>
      <c r="X171" s="41" t="str">
        <f>IF(AND(L171="LOSS",L172&lt;&gt;"LOSS"),SUMIF(L$24:L171,"LOSS",K$24:K171)-SUM(X$23:X170),"")</f>
        <v/>
      </c>
      <c r="Y171" s="8"/>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row>
    <row r="172" spans="1:53" ht="15.75">
      <c r="A172" s="149"/>
      <c r="B172" s="305" t="s">
        <v>216</v>
      </c>
      <c r="C172" s="306"/>
      <c r="D172" s="271">
        <v>98</v>
      </c>
      <c r="E172" s="272"/>
      <c r="F172" s="278">
        <f t="shared" si="23"/>
        <v>14004.583156091179</v>
      </c>
      <c r="G172" s="279"/>
      <c r="H172" s="275">
        <f t="shared" si="19"/>
        <v>140.04583156091181</v>
      </c>
      <c r="I172" s="276"/>
      <c r="J172" s="277"/>
      <c r="K172" s="75">
        <f t="shared" si="24"/>
        <v>-140.04583156091181</v>
      </c>
      <c r="L172" s="81" t="str">
        <f t="shared" si="20"/>
        <v>LOSS</v>
      </c>
      <c r="M172" s="242">
        <f>IF(COUNTA($F$6:$F$10)=5,(F173-F24)/F24,"")</f>
        <v>0.38645373245302672</v>
      </c>
      <c r="N172" s="238">
        <f t="shared" si="21"/>
        <v>3</v>
      </c>
      <c r="O172" s="14" t="str">
        <f t="shared" si="22"/>
        <v>last</v>
      </c>
      <c r="P172" s="14"/>
      <c r="Q172" s="14"/>
      <c r="R172" s="14"/>
      <c r="S172" s="14"/>
      <c r="T172" s="14"/>
      <c r="U172" s="14"/>
      <c r="V172" s="14"/>
      <c r="W172" s="39" t="str">
        <f>IF(AND(L172="WIN",L173&lt;&gt;"WIN"),SUMIF(L$24:L172,"WIN",K$24:K172)-SUM(W$23:W171),"")</f>
        <v/>
      </c>
      <c r="X172" s="41">
        <f>IF(AND(L172="LOSS",L173&lt;&gt;"LOSS"),SUMIF(L$24:L172,"LOSS",K$24:K172)-SUM(X$23:X171),"")</f>
        <v>-424.39559669326081</v>
      </c>
      <c r="Y172" s="8"/>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row>
    <row r="173" spans="1:53" ht="15.75">
      <c r="A173" s="149"/>
      <c r="B173" s="305" t="s">
        <v>217</v>
      </c>
      <c r="C173" s="306"/>
      <c r="D173" s="271">
        <v>3</v>
      </c>
      <c r="E173" s="272"/>
      <c r="F173" s="278">
        <f t="shared" si="23"/>
        <v>13864.537324530267</v>
      </c>
      <c r="G173" s="279"/>
      <c r="H173" s="275">
        <f t="shared" si="19"/>
        <v>138.64537324530266</v>
      </c>
      <c r="I173" s="276"/>
      <c r="J173" s="277"/>
      <c r="K173" s="75">
        <f t="shared" si="24"/>
        <v>166.37444789436319</v>
      </c>
      <c r="L173" s="81" t="str">
        <f t="shared" si="20"/>
        <v>WIN</v>
      </c>
      <c r="M173" s="242">
        <f>IF(COUNTA($F$6:$F$10)=5,(F174-F24)/F24,"")</f>
        <v>0.40309117724246296</v>
      </c>
      <c r="N173" s="238">
        <f t="shared" si="21"/>
        <v>1</v>
      </c>
      <c r="O173" s="14" t="str">
        <f t="shared" si="22"/>
        <v>last</v>
      </c>
      <c r="P173" s="14"/>
      <c r="Q173" s="14"/>
      <c r="R173" s="14"/>
      <c r="S173" s="14"/>
      <c r="T173" s="14"/>
      <c r="U173" s="14"/>
      <c r="V173" s="14"/>
      <c r="W173" s="39">
        <f>IF(AND(L173="WIN",L174&lt;&gt;"WIN"),SUMIF(L$24:L173,"WIN",K$24:K173)-SUM(W$23:W172),"")</f>
        <v>166.37444789436267</v>
      </c>
      <c r="X173" s="41" t="str">
        <f>IF(AND(L173="LOSS",L174&lt;&gt;"LOSS"),SUMIF(L$24:L173,"LOSS",K$24:K173)-SUM(X$23:X172),"")</f>
        <v/>
      </c>
      <c r="Y173" s="8"/>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row>
    <row r="174" spans="1:53" ht="15.75">
      <c r="A174" s="149"/>
      <c r="B174" s="305" t="s">
        <v>218</v>
      </c>
      <c r="C174" s="306"/>
      <c r="D174" s="271">
        <v>82</v>
      </c>
      <c r="E174" s="272"/>
      <c r="F174" s="278">
        <f t="shared" si="23"/>
        <v>14030.91177242463</v>
      </c>
      <c r="G174" s="279"/>
      <c r="H174" s="275">
        <f t="shared" si="19"/>
        <v>140.30911772424631</v>
      </c>
      <c r="I174" s="276"/>
      <c r="J174" s="277"/>
      <c r="K174" s="75">
        <f t="shared" si="24"/>
        <v>-140.30911772424631</v>
      </c>
      <c r="L174" s="81" t="str">
        <f t="shared" si="20"/>
        <v>LOSS</v>
      </c>
      <c r="M174" s="242">
        <f>IF(COUNTA($F$6:$F$10)=5,(F175-F24)/F24,"")</f>
        <v>0.38906026547003841</v>
      </c>
      <c r="N174" s="238">
        <f t="shared" si="21"/>
        <v>1</v>
      </c>
      <c r="O174" s="14" t="str">
        <f t="shared" si="22"/>
        <v>last</v>
      </c>
      <c r="P174" s="14"/>
      <c r="Q174" s="14"/>
      <c r="R174" s="14"/>
      <c r="S174" s="14"/>
      <c r="T174" s="14"/>
      <c r="U174" s="14"/>
      <c r="V174" s="14"/>
      <c r="W174" s="39" t="str">
        <f>IF(AND(L174="WIN",L175&lt;&gt;"WIN"),SUMIF(L$24:L174,"WIN",K$24:K174)-SUM(W$23:W173),"")</f>
        <v/>
      </c>
      <c r="X174" s="41">
        <f>IF(AND(L174="LOSS",L175&lt;&gt;"LOSS"),SUMIF(L$24:L174,"LOSS",K$24:K174)-SUM(X$23:X173),"")</f>
        <v>-140.30911772424588</v>
      </c>
      <c r="Y174" s="8"/>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row>
    <row r="175" spans="1:53" ht="15.75">
      <c r="A175" s="149"/>
      <c r="B175" s="305" t="s">
        <v>219</v>
      </c>
      <c r="C175" s="306"/>
      <c r="D175" s="271">
        <v>47</v>
      </c>
      <c r="E175" s="272"/>
      <c r="F175" s="278">
        <f t="shared" si="23"/>
        <v>13890.602654700384</v>
      </c>
      <c r="G175" s="279"/>
      <c r="H175" s="275">
        <f t="shared" si="19"/>
        <v>138.90602654700385</v>
      </c>
      <c r="I175" s="276"/>
      <c r="J175" s="277"/>
      <c r="K175" s="75">
        <f t="shared" si="24"/>
        <v>166.68723185640462</v>
      </c>
      <c r="L175" s="81" t="str">
        <f t="shared" si="20"/>
        <v>WIN</v>
      </c>
      <c r="M175" s="242">
        <f>IF(COUNTA($F$6:$F$10)=5,(F176-F24)/F24,"")</f>
        <v>0.40572898865567897</v>
      </c>
      <c r="N175" s="238">
        <f t="shared" si="21"/>
        <v>1</v>
      </c>
      <c r="O175" s="14" t="str">
        <f t="shared" si="22"/>
        <v>last</v>
      </c>
      <c r="P175" s="14"/>
      <c r="Q175" s="14"/>
      <c r="R175" s="14"/>
      <c r="S175" s="14"/>
      <c r="T175" s="14"/>
      <c r="U175" s="14"/>
      <c r="V175" s="14"/>
      <c r="W175" s="39">
        <f>IF(AND(L175="WIN",L176&lt;&gt;"WIN"),SUMIF(L$24:L175,"WIN",K$24:K175)-SUM(W$23:W174),"")</f>
        <v>166.68723185640374</v>
      </c>
      <c r="X175" s="41" t="str">
        <f>IF(AND(L175="LOSS",L176&lt;&gt;"LOSS"),SUMIF(L$24:L175,"LOSS",K$24:K175)-SUM(X$23:X174),"")</f>
        <v/>
      </c>
      <c r="Y175" s="8"/>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row>
    <row r="176" spans="1:53" ht="15.75">
      <c r="A176" s="149"/>
      <c r="B176" s="305" t="s">
        <v>220</v>
      </c>
      <c r="C176" s="306"/>
      <c r="D176" s="271">
        <v>91</v>
      </c>
      <c r="E176" s="272"/>
      <c r="F176" s="278">
        <f t="shared" si="23"/>
        <v>14057.289886556789</v>
      </c>
      <c r="G176" s="279"/>
      <c r="H176" s="275">
        <f t="shared" si="19"/>
        <v>140.57289886556791</v>
      </c>
      <c r="I176" s="276"/>
      <c r="J176" s="277"/>
      <c r="K176" s="75">
        <f t="shared" si="24"/>
        <v>-140.57289886556791</v>
      </c>
      <c r="L176" s="81" t="str">
        <f t="shared" si="20"/>
        <v>LOSS</v>
      </c>
      <c r="M176" s="242">
        <f>IF(COUNTA($F$6:$F$10)=5,(F177-F24)/F24,"")</f>
        <v>0.39167169876912211</v>
      </c>
      <c r="N176" s="238">
        <f t="shared" si="21"/>
        <v>1</v>
      </c>
      <c r="O176" s="14" t="str">
        <f t="shared" si="22"/>
        <v>new</v>
      </c>
      <c r="P176" s="14"/>
      <c r="Q176" s="14"/>
      <c r="R176" s="14"/>
      <c r="S176" s="14"/>
      <c r="T176" s="14"/>
      <c r="U176" s="14"/>
      <c r="V176" s="14"/>
      <c r="W176" s="39" t="str">
        <f>IF(AND(L176="WIN",L177&lt;&gt;"WIN"),SUMIF(L$24:L176,"WIN",K$24:K176)-SUM(W$23:W175),"")</f>
        <v/>
      </c>
      <c r="X176" s="41" t="str">
        <f>IF(AND(L176="LOSS",L177&lt;&gt;"LOSS"),SUMIF(L$24:L176,"LOSS",K$24:K176)-SUM(X$23:X175),"")</f>
        <v/>
      </c>
      <c r="Y176" s="8"/>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row>
    <row r="177" spans="1:53" ht="15.75">
      <c r="A177" s="149"/>
      <c r="B177" s="305" t="s">
        <v>221</v>
      </c>
      <c r="C177" s="306"/>
      <c r="D177" s="271">
        <v>75</v>
      </c>
      <c r="E177" s="272"/>
      <c r="F177" s="278">
        <f t="shared" si="23"/>
        <v>13916.716987691221</v>
      </c>
      <c r="G177" s="279"/>
      <c r="H177" s="275">
        <f t="shared" si="19"/>
        <v>139.16716987691223</v>
      </c>
      <c r="I177" s="276"/>
      <c r="J177" s="277"/>
      <c r="K177" s="75">
        <f t="shared" si="24"/>
        <v>-139.16716987691223</v>
      </c>
      <c r="L177" s="81" t="str">
        <f t="shared" si="20"/>
        <v>LOSS</v>
      </c>
      <c r="M177" s="242">
        <f>IF(COUNTA($F$6:$F$10)=5,(F178-F24)/F24,"")</f>
        <v>0.37775498178143097</v>
      </c>
      <c r="N177" s="238">
        <f t="shared" si="21"/>
        <v>2</v>
      </c>
      <c r="O177" s="14" t="str">
        <f t="shared" si="22"/>
        <v>middle</v>
      </c>
      <c r="P177" s="14"/>
      <c r="Q177" s="14"/>
      <c r="R177" s="14"/>
      <c r="S177" s="14"/>
      <c r="T177" s="14"/>
      <c r="U177" s="14"/>
      <c r="V177" s="14"/>
      <c r="W177" s="39" t="str">
        <f>IF(AND(L177="WIN",L178&lt;&gt;"WIN"),SUMIF(L$24:L177,"WIN",K$24:K177)-SUM(W$23:W176),"")</f>
        <v/>
      </c>
      <c r="X177" s="41" t="str">
        <f>IF(AND(L177="LOSS",L178&lt;&gt;"LOSS"),SUMIF(L$24:L177,"LOSS",K$24:K177)-SUM(X$23:X176),"")</f>
        <v/>
      </c>
      <c r="Y177" s="8"/>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row>
    <row r="178" spans="1:53" ht="15.75">
      <c r="A178" s="149"/>
      <c r="B178" s="305" t="s">
        <v>222</v>
      </c>
      <c r="C178" s="306"/>
      <c r="D178" s="271">
        <v>99</v>
      </c>
      <c r="E178" s="272"/>
      <c r="F178" s="278">
        <f t="shared" si="23"/>
        <v>13777.54981781431</v>
      </c>
      <c r="G178" s="279"/>
      <c r="H178" s="275">
        <f t="shared" si="19"/>
        <v>137.7754981781431</v>
      </c>
      <c r="I178" s="276"/>
      <c r="J178" s="277"/>
      <c r="K178" s="75">
        <f t="shared" si="24"/>
        <v>-137.7754981781431</v>
      </c>
      <c r="L178" s="81" t="str">
        <f t="shared" si="20"/>
        <v>LOSS</v>
      </c>
      <c r="M178" s="242">
        <f>IF(COUNTA($F$6:$F$10)=5,(F179-F24)/F24,"")</f>
        <v>0.36397743196361659</v>
      </c>
      <c r="N178" s="238">
        <f t="shared" si="21"/>
        <v>3</v>
      </c>
      <c r="O178" s="14" t="str">
        <f t="shared" si="22"/>
        <v>middle</v>
      </c>
      <c r="P178" s="14"/>
      <c r="Q178" s="14"/>
      <c r="R178" s="14"/>
      <c r="S178" s="14"/>
      <c r="T178" s="14"/>
      <c r="U178" s="14"/>
      <c r="V178" s="14"/>
      <c r="W178" s="39" t="str">
        <f>IF(AND(L178="WIN",L179&lt;&gt;"WIN"),SUMIF(L$24:L178,"WIN",K$24:K178)-SUM(W$23:W177),"")</f>
        <v/>
      </c>
      <c r="X178" s="41" t="str">
        <f>IF(AND(L178="LOSS",L179&lt;&gt;"LOSS"),SUMIF(L$24:L178,"LOSS",K$24:K178)-SUM(X$23:X177),"")</f>
        <v/>
      </c>
      <c r="Y178" s="8"/>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row>
    <row r="179" spans="1:53" ht="15.75">
      <c r="A179" s="149"/>
      <c r="B179" s="305" t="s">
        <v>223</v>
      </c>
      <c r="C179" s="306"/>
      <c r="D179" s="271">
        <v>57</v>
      </c>
      <c r="E179" s="272"/>
      <c r="F179" s="278">
        <f t="shared" si="23"/>
        <v>13639.774319636166</v>
      </c>
      <c r="G179" s="279"/>
      <c r="H179" s="275">
        <f t="shared" si="19"/>
        <v>136.39774319636166</v>
      </c>
      <c r="I179" s="276"/>
      <c r="J179" s="277"/>
      <c r="K179" s="75">
        <f t="shared" si="24"/>
        <v>-136.39774319636166</v>
      </c>
      <c r="L179" s="81" t="str">
        <f t="shared" si="20"/>
        <v>LOSS</v>
      </c>
      <c r="M179" s="242">
        <f>IF(COUNTA($F$6:$F$10)=5,(F180-F24)/F24,"")</f>
        <v>0.3503376576439805</v>
      </c>
      <c r="N179" s="238">
        <f t="shared" si="21"/>
        <v>4</v>
      </c>
      <c r="O179" s="14" t="str">
        <f t="shared" si="22"/>
        <v>last</v>
      </c>
      <c r="P179" s="14"/>
      <c r="Q179" s="14"/>
      <c r="R179" s="14"/>
      <c r="S179" s="14"/>
      <c r="T179" s="14"/>
      <c r="U179" s="14"/>
      <c r="V179" s="14"/>
      <c r="W179" s="39" t="str">
        <f>IF(AND(L179="WIN",L180&lt;&gt;"WIN"),SUMIF(L$24:L179,"WIN",K$24:K179)-SUM(W$23:W178),"")</f>
        <v/>
      </c>
      <c r="X179" s="41">
        <f>IF(AND(L179="LOSS",L180&lt;&gt;"LOSS"),SUMIF(L$24:L179,"LOSS",K$24:K179)-SUM(X$23:X178),"")</f>
        <v>-553.91331011698458</v>
      </c>
      <c r="Y179" s="8"/>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row>
    <row r="180" spans="1:53" ht="15.75">
      <c r="A180" s="149"/>
      <c r="B180" s="305" t="s">
        <v>224</v>
      </c>
      <c r="C180" s="306"/>
      <c r="D180" s="271">
        <v>34</v>
      </c>
      <c r="E180" s="272"/>
      <c r="F180" s="278">
        <f t="shared" si="23"/>
        <v>13503.376576439805</v>
      </c>
      <c r="G180" s="279"/>
      <c r="H180" s="275">
        <f t="shared" si="19"/>
        <v>135.03376576439805</v>
      </c>
      <c r="I180" s="276"/>
      <c r="J180" s="277"/>
      <c r="K180" s="75">
        <f t="shared" si="24"/>
        <v>162.04051891727767</v>
      </c>
      <c r="L180" s="81" t="str">
        <f t="shared" si="20"/>
        <v>WIN</v>
      </c>
      <c r="M180" s="242">
        <f>IF(COUNTA($F$6:$F$10)=5,(F181-F24)/F24,"")</f>
        <v>0.3665417095357083</v>
      </c>
      <c r="N180" s="238">
        <f t="shared" si="21"/>
        <v>1</v>
      </c>
      <c r="O180" s="14" t="str">
        <f t="shared" si="22"/>
        <v>new</v>
      </c>
      <c r="P180" s="14"/>
      <c r="Q180" s="14"/>
      <c r="R180" s="14"/>
      <c r="S180" s="14"/>
      <c r="T180" s="14"/>
      <c r="U180" s="14"/>
      <c r="V180" s="14"/>
      <c r="W180" s="39" t="str">
        <f>IF(AND(L180="WIN",L181&lt;&gt;"WIN"),SUMIF(L$24:L180,"WIN",K$24:K180)-SUM(W$23:W179),"")</f>
        <v/>
      </c>
      <c r="X180" s="41" t="str">
        <f>IF(AND(L180="LOSS",L181&lt;&gt;"LOSS"),SUMIF(L$24:L180,"LOSS",K$24:K180)-SUM(X$23:X179),"")</f>
        <v/>
      </c>
      <c r="Y180" s="8"/>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row>
    <row r="181" spans="1:53" ht="15.75">
      <c r="A181" s="149"/>
      <c r="B181" s="305" t="s">
        <v>225</v>
      </c>
      <c r="C181" s="306"/>
      <c r="D181" s="271">
        <v>14</v>
      </c>
      <c r="E181" s="272"/>
      <c r="F181" s="278">
        <f t="shared" si="23"/>
        <v>13665.417095357083</v>
      </c>
      <c r="G181" s="279"/>
      <c r="H181" s="275">
        <f t="shared" si="19"/>
        <v>136.65417095357083</v>
      </c>
      <c r="I181" s="276"/>
      <c r="J181" s="277"/>
      <c r="K181" s="75">
        <f t="shared" si="24"/>
        <v>163.985005144285</v>
      </c>
      <c r="L181" s="81" t="str">
        <f t="shared" si="20"/>
        <v>WIN</v>
      </c>
      <c r="M181" s="242">
        <f>IF(COUNTA($F$6:$F$10)=5,(F182-F24)/F24,"")</f>
        <v>0.38294021005013673</v>
      </c>
      <c r="N181" s="238">
        <f t="shared" si="21"/>
        <v>2</v>
      </c>
      <c r="O181" s="14" t="str">
        <f t="shared" si="22"/>
        <v>last</v>
      </c>
      <c r="P181" s="14"/>
      <c r="Q181" s="14"/>
      <c r="R181" s="14"/>
      <c r="S181" s="14"/>
      <c r="T181" s="14"/>
      <c r="U181" s="14"/>
      <c r="V181" s="14"/>
      <c r="W181" s="39">
        <f>IF(AND(L181="WIN",L182&lt;&gt;"WIN"),SUMIF(L$24:L181,"WIN",K$24:K181)-SUM(W$23:W180),"")</f>
        <v>326.02552406156246</v>
      </c>
      <c r="X181" s="41" t="str">
        <f>IF(AND(L181="LOSS",L182&lt;&gt;"LOSS"),SUMIF(L$24:L181,"LOSS",K$24:K181)-SUM(X$23:X180),"")</f>
        <v/>
      </c>
      <c r="Y181" s="8"/>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row>
    <row r="182" spans="1:53" ht="15.75">
      <c r="A182" s="149"/>
      <c r="B182" s="305" t="s">
        <v>226</v>
      </c>
      <c r="C182" s="306"/>
      <c r="D182" s="271">
        <v>78</v>
      </c>
      <c r="E182" s="272"/>
      <c r="F182" s="278">
        <f t="shared" si="23"/>
        <v>13829.402100501367</v>
      </c>
      <c r="G182" s="279"/>
      <c r="H182" s="275">
        <f t="shared" si="19"/>
        <v>138.29402100501369</v>
      </c>
      <c r="I182" s="276"/>
      <c r="J182" s="277"/>
      <c r="K182" s="75">
        <f t="shared" si="24"/>
        <v>-138.29402100501369</v>
      </c>
      <c r="L182" s="81" t="str">
        <f t="shared" si="20"/>
        <v>LOSS</v>
      </c>
      <c r="M182" s="242">
        <f>IF(COUNTA($F$6:$F$10)=5,(F183-F24)/F24,"")</f>
        <v>0.3691108079496353</v>
      </c>
      <c r="N182" s="238">
        <f t="shared" si="21"/>
        <v>1</v>
      </c>
      <c r="O182" s="14" t="str">
        <f t="shared" si="22"/>
        <v>last</v>
      </c>
      <c r="P182" s="14"/>
      <c r="Q182" s="14"/>
      <c r="R182" s="14"/>
      <c r="S182" s="14"/>
      <c r="T182" s="14"/>
      <c r="U182" s="14"/>
      <c r="V182" s="14"/>
      <c r="W182" s="39" t="str">
        <f>IF(AND(L182="WIN",L183&lt;&gt;"WIN"),SUMIF(L$24:L182,"WIN",K$24:K182)-SUM(W$23:W181),"")</f>
        <v/>
      </c>
      <c r="X182" s="41">
        <f>IF(AND(L182="LOSS",L183&lt;&gt;"LOSS"),SUMIF(L$24:L182,"LOSS",K$24:K182)-SUM(X$23:X181),"")</f>
        <v>-138.29402100501284</v>
      </c>
      <c r="Y182" s="8"/>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row>
    <row r="183" spans="1:53" ht="15.75">
      <c r="A183" s="149"/>
      <c r="B183" s="305" t="s">
        <v>227</v>
      </c>
      <c r="C183" s="306"/>
      <c r="D183" s="271">
        <v>20</v>
      </c>
      <c r="E183" s="272"/>
      <c r="F183" s="278">
        <f t="shared" si="23"/>
        <v>13691.108079496353</v>
      </c>
      <c r="G183" s="279"/>
      <c r="H183" s="275">
        <f t="shared" si="19"/>
        <v>136.91108079496354</v>
      </c>
      <c r="I183" s="276"/>
      <c r="J183" s="277"/>
      <c r="K183" s="75">
        <f t="shared" si="24"/>
        <v>164.29329695395623</v>
      </c>
      <c r="L183" s="81" t="str">
        <f t="shared" si="20"/>
        <v>WIN</v>
      </c>
      <c r="M183" s="242">
        <f>IF(COUNTA($F$6:$F$10)=5,(F184-F24)/F24,"")</f>
        <v>0.38554013764503087</v>
      </c>
      <c r="N183" s="238">
        <f t="shared" si="21"/>
        <v>1</v>
      </c>
      <c r="O183" s="14" t="str">
        <f t="shared" si="22"/>
        <v>new</v>
      </c>
      <c r="P183" s="14"/>
      <c r="Q183" s="14"/>
      <c r="R183" s="14"/>
      <c r="S183" s="14"/>
      <c r="T183" s="14"/>
      <c r="U183" s="14"/>
      <c r="V183" s="14"/>
      <c r="W183" s="39" t="str">
        <f>IF(AND(L183="WIN",L184&lt;&gt;"WIN"),SUMIF(L$24:L183,"WIN",K$24:K183)-SUM(W$23:W182),"")</f>
        <v/>
      </c>
      <c r="X183" s="41" t="str">
        <f>IF(AND(L183="LOSS",L184&lt;&gt;"LOSS"),SUMIF(L$24:L183,"LOSS",K$24:K183)-SUM(X$23:X182),"")</f>
        <v/>
      </c>
      <c r="Y183" s="8"/>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row>
    <row r="184" spans="1:53" ht="15.75">
      <c r="A184" s="149"/>
      <c r="B184" s="305" t="s">
        <v>228</v>
      </c>
      <c r="C184" s="306"/>
      <c r="D184" s="271">
        <v>9</v>
      </c>
      <c r="E184" s="272"/>
      <c r="F184" s="278">
        <f t="shared" si="23"/>
        <v>13855.401376450309</v>
      </c>
      <c r="G184" s="279"/>
      <c r="H184" s="275">
        <f t="shared" si="19"/>
        <v>138.55401376450308</v>
      </c>
      <c r="I184" s="276"/>
      <c r="J184" s="277"/>
      <c r="K184" s="75">
        <f t="shared" si="24"/>
        <v>166.26481651740369</v>
      </c>
      <c r="L184" s="81" t="str">
        <f t="shared" si="20"/>
        <v>WIN</v>
      </c>
      <c r="M184" s="242">
        <f>IF(COUNTA($F$6:$F$10)=5,(F185-F24)/F24,"")</f>
        <v>0.40216661929677122</v>
      </c>
      <c r="N184" s="238">
        <f t="shared" si="21"/>
        <v>2</v>
      </c>
      <c r="O184" s="14" t="str">
        <f t="shared" si="22"/>
        <v>middle</v>
      </c>
      <c r="P184" s="14"/>
      <c r="Q184" s="14"/>
      <c r="R184" s="14"/>
      <c r="S184" s="14"/>
      <c r="T184" s="14"/>
      <c r="U184" s="14"/>
      <c r="V184" s="14"/>
      <c r="W184" s="39" t="str">
        <f>IF(AND(L184="WIN",L185&lt;&gt;"WIN"),SUMIF(L$24:L184,"WIN",K$24:K184)-SUM(W$23:W183),"")</f>
        <v/>
      </c>
      <c r="X184" s="41" t="str">
        <f>IF(AND(L184="LOSS",L185&lt;&gt;"LOSS"),SUMIF(L$24:L184,"LOSS",K$24:K184)-SUM(X$23:X183),"")</f>
        <v/>
      </c>
      <c r="Y184" s="8"/>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row>
    <row r="185" spans="1:53" ht="15.75">
      <c r="A185" s="149"/>
      <c r="B185" s="305" t="s">
        <v>229</v>
      </c>
      <c r="C185" s="306"/>
      <c r="D185" s="271">
        <v>13</v>
      </c>
      <c r="E185" s="272"/>
      <c r="F185" s="278">
        <f t="shared" si="23"/>
        <v>14021.666192967712</v>
      </c>
      <c r="G185" s="279"/>
      <c r="H185" s="275">
        <f t="shared" si="19"/>
        <v>140.21666192967712</v>
      </c>
      <c r="I185" s="276"/>
      <c r="J185" s="277"/>
      <c r="K185" s="75">
        <f t="shared" si="24"/>
        <v>168.25999431561254</v>
      </c>
      <c r="L185" s="81" t="str">
        <f t="shared" si="20"/>
        <v>WIN</v>
      </c>
      <c r="M185" s="242">
        <f>IF(COUNTA($F$6:$F$10)=5,(F186-F24)/F24,"")</f>
        <v>0.41899261872833249</v>
      </c>
      <c r="N185" s="238">
        <f t="shared" si="21"/>
        <v>3</v>
      </c>
      <c r="O185" s="14" t="str">
        <f t="shared" si="22"/>
        <v>last</v>
      </c>
      <c r="P185" s="14"/>
      <c r="Q185" s="14"/>
      <c r="R185" s="14"/>
      <c r="S185" s="14"/>
      <c r="T185" s="14"/>
      <c r="U185" s="14"/>
      <c r="V185" s="14"/>
      <c r="W185" s="39">
        <f>IF(AND(L185="WIN",L186&lt;&gt;"WIN"),SUMIF(L$24:L185,"WIN",K$24:K185)-SUM(W$23:W184),"")</f>
        <v>498.81810778697218</v>
      </c>
      <c r="X185" s="41" t="str">
        <f>IF(AND(L185="LOSS",L186&lt;&gt;"LOSS"),SUMIF(L$24:L185,"LOSS",K$24:K185)-SUM(X$23:X184),"")</f>
        <v/>
      </c>
      <c r="Y185" s="8"/>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row>
    <row r="186" spans="1:53" ht="15.75">
      <c r="A186" s="149"/>
      <c r="B186" s="305" t="s">
        <v>230</v>
      </c>
      <c r="C186" s="306"/>
      <c r="D186" s="271">
        <v>76</v>
      </c>
      <c r="E186" s="272"/>
      <c r="F186" s="278">
        <f t="shared" si="23"/>
        <v>14189.926187283325</v>
      </c>
      <c r="G186" s="279"/>
      <c r="H186" s="275">
        <f t="shared" si="19"/>
        <v>141.89926187283325</v>
      </c>
      <c r="I186" s="276"/>
      <c r="J186" s="277"/>
      <c r="K186" s="75">
        <f t="shared" si="24"/>
        <v>-141.89926187283325</v>
      </c>
      <c r="L186" s="81" t="str">
        <f t="shared" si="20"/>
        <v>LOSS</v>
      </c>
      <c r="M186" s="242">
        <f>IF(COUNTA($F$6:$F$10)=5,(F187-F24)/F24,"")</f>
        <v>0.40480269254104917</v>
      </c>
      <c r="N186" s="238">
        <f t="shared" si="21"/>
        <v>1</v>
      </c>
      <c r="O186" s="14" t="str">
        <f t="shared" si="22"/>
        <v>last</v>
      </c>
      <c r="P186" s="14"/>
      <c r="Q186" s="14"/>
      <c r="R186" s="14"/>
      <c r="S186" s="14"/>
      <c r="T186" s="14"/>
      <c r="U186" s="14"/>
      <c r="V186" s="14"/>
      <c r="W186" s="39" t="str">
        <f>IF(AND(L186="WIN",L187&lt;&gt;"WIN"),SUMIF(L$24:L186,"WIN",K$24:K186)-SUM(W$23:W185),"")</f>
        <v/>
      </c>
      <c r="X186" s="41">
        <f>IF(AND(L186="LOSS",L187&lt;&gt;"LOSS"),SUMIF(L$24:L186,"LOSS",K$24:K186)-SUM(X$23:X185),"")</f>
        <v>-141.89926187283345</v>
      </c>
      <c r="Y186" s="8"/>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row>
    <row r="187" spans="1:53" ht="15.75">
      <c r="A187" s="149"/>
      <c r="B187" s="305" t="s">
        <v>231</v>
      </c>
      <c r="C187" s="306"/>
      <c r="D187" s="271">
        <v>31</v>
      </c>
      <c r="E187" s="272"/>
      <c r="F187" s="278">
        <f t="shared" si="23"/>
        <v>14048.026925410491</v>
      </c>
      <c r="G187" s="279"/>
      <c r="H187" s="275">
        <f t="shared" si="19"/>
        <v>140.48026925410491</v>
      </c>
      <c r="I187" s="276"/>
      <c r="J187" s="277"/>
      <c r="K187" s="75">
        <f t="shared" si="24"/>
        <v>168.57632310492588</v>
      </c>
      <c r="L187" s="81" t="str">
        <f t="shared" si="20"/>
        <v>WIN</v>
      </c>
      <c r="M187" s="242">
        <f>IF(COUNTA($F$6:$F$10)=5,(F188-F24)/F24,"")</f>
        <v>0.42166032485154176</v>
      </c>
      <c r="N187" s="238">
        <f t="shared" si="21"/>
        <v>1</v>
      </c>
      <c r="O187" s="14" t="str">
        <f t="shared" si="22"/>
        <v>new</v>
      </c>
      <c r="P187" s="14"/>
      <c r="Q187" s="14"/>
      <c r="R187" s="14"/>
      <c r="S187" s="14"/>
      <c r="T187" s="14"/>
      <c r="U187" s="14"/>
      <c r="V187" s="14"/>
      <c r="W187" s="39" t="str">
        <f>IF(AND(L187="WIN",L188&lt;&gt;"WIN"),SUMIF(L$24:L187,"WIN",K$24:K187)-SUM(W$23:W186),"")</f>
        <v/>
      </c>
      <c r="X187" s="41" t="str">
        <f>IF(AND(L187="LOSS",L188&lt;&gt;"LOSS"),SUMIF(L$24:L187,"LOSS",K$24:K187)-SUM(X$23:X186),"")</f>
        <v/>
      </c>
      <c r="Y187" s="8"/>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row>
    <row r="188" spans="1:53" ht="15.75">
      <c r="A188" s="149"/>
      <c r="B188" s="305" t="s">
        <v>232</v>
      </c>
      <c r="C188" s="306"/>
      <c r="D188" s="271">
        <v>54</v>
      </c>
      <c r="E188" s="272"/>
      <c r="F188" s="278">
        <f t="shared" si="23"/>
        <v>14216.603248515417</v>
      </c>
      <c r="G188" s="279"/>
      <c r="H188" s="275">
        <f t="shared" si="19"/>
        <v>142.16603248515418</v>
      </c>
      <c r="I188" s="276"/>
      <c r="J188" s="277"/>
      <c r="K188" s="75">
        <f t="shared" si="24"/>
        <v>170.599238982185</v>
      </c>
      <c r="L188" s="81" t="str">
        <f t="shared" si="20"/>
        <v>WIN</v>
      </c>
      <c r="M188" s="242">
        <f>IF(COUNTA($F$6:$F$10)=5,(F189-F24)/F24,"")</f>
        <v>0.43872024874976034</v>
      </c>
      <c r="N188" s="238">
        <f t="shared" si="21"/>
        <v>2</v>
      </c>
      <c r="O188" s="14" t="str">
        <f t="shared" si="22"/>
        <v>middle</v>
      </c>
      <c r="P188" s="14"/>
      <c r="Q188" s="14"/>
      <c r="R188" s="14"/>
      <c r="S188" s="14"/>
      <c r="T188" s="14"/>
      <c r="U188" s="14"/>
      <c r="V188" s="14"/>
      <c r="W188" s="39" t="str">
        <f>IF(AND(L188="WIN",L189&lt;&gt;"WIN"),SUMIF(L$24:L188,"WIN",K$24:K188)-SUM(W$23:W187),"")</f>
        <v/>
      </c>
      <c r="X188" s="41" t="str">
        <f>IF(AND(L188="LOSS",L189&lt;&gt;"LOSS"),SUMIF(L$24:L188,"LOSS",K$24:K188)-SUM(X$23:X187),"")</f>
        <v/>
      </c>
      <c r="Y188" s="8"/>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row>
    <row r="189" spans="1:53" ht="15.75">
      <c r="A189" s="149"/>
      <c r="B189" s="305" t="s">
        <v>233</v>
      </c>
      <c r="C189" s="306"/>
      <c r="D189" s="271">
        <v>48</v>
      </c>
      <c r="E189" s="272"/>
      <c r="F189" s="278">
        <f t="shared" si="23"/>
        <v>14387.202487497603</v>
      </c>
      <c r="G189" s="279"/>
      <c r="H189" s="275">
        <f t="shared" si="19"/>
        <v>143.87202487497603</v>
      </c>
      <c r="I189" s="276"/>
      <c r="J189" s="277"/>
      <c r="K189" s="75">
        <f t="shared" si="24"/>
        <v>172.64642984997124</v>
      </c>
      <c r="L189" s="81" t="str">
        <f t="shared" si="20"/>
        <v>WIN</v>
      </c>
      <c r="M189" s="242">
        <f>IF(COUNTA($F$6:$F$10)=5,(F190-F24)/F24,"")</f>
        <v>0.45598489173475754</v>
      </c>
      <c r="N189" s="238">
        <f t="shared" si="21"/>
        <v>3</v>
      </c>
      <c r="O189" s="14" t="str">
        <f t="shared" si="22"/>
        <v>last</v>
      </c>
      <c r="P189" s="14"/>
      <c r="Q189" s="14"/>
      <c r="R189" s="14"/>
      <c r="S189" s="14"/>
      <c r="T189" s="14"/>
      <c r="U189" s="14"/>
      <c r="V189" s="14"/>
      <c r="W189" s="39">
        <f>IF(AND(L189="WIN",L190&lt;&gt;"WIN"),SUMIF(L$24:L189,"WIN",K$24:K189)-SUM(W$23:W188),"")</f>
        <v>511.8219919370822</v>
      </c>
      <c r="X189" s="41" t="str">
        <f>IF(AND(L189="LOSS",L190&lt;&gt;"LOSS"),SUMIF(L$24:L189,"LOSS",K$24:K189)-SUM(X$23:X188),"")</f>
        <v/>
      </c>
      <c r="Y189" s="8"/>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row>
    <row r="190" spans="1:53" ht="15.75">
      <c r="A190" s="149"/>
      <c r="B190" s="305" t="s">
        <v>234</v>
      </c>
      <c r="C190" s="306"/>
      <c r="D190" s="271">
        <v>96</v>
      </c>
      <c r="E190" s="272"/>
      <c r="F190" s="278">
        <f t="shared" si="23"/>
        <v>14559.848917347575</v>
      </c>
      <c r="G190" s="279"/>
      <c r="H190" s="275">
        <f t="shared" si="19"/>
        <v>145.59848917347577</v>
      </c>
      <c r="I190" s="276"/>
      <c r="J190" s="277"/>
      <c r="K190" s="75">
        <f t="shared" si="24"/>
        <v>-145.59848917347577</v>
      </c>
      <c r="L190" s="81" t="str">
        <f t="shared" si="20"/>
        <v>LOSS</v>
      </c>
      <c r="M190" s="242">
        <f>IF(COUNTA($F$6:$F$10)=5,(F191-F24)/F24,"")</f>
        <v>0.44142504281741002</v>
      </c>
      <c r="N190" s="238">
        <f t="shared" si="21"/>
        <v>1</v>
      </c>
      <c r="O190" s="14" t="str">
        <f t="shared" si="22"/>
        <v>last</v>
      </c>
      <c r="P190" s="14"/>
      <c r="Q190" s="14"/>
      <c r="R190" s="14"/>
      <c r="S190" s="14"/>
      <c r="T190" s="14"/>
      <c r="U190" s="14"/>
      <c r="V190" s="14"/>
      <c r="W190" s="39" t="str">
        <f>IF(AND(L190="WIN",L191&lt;&gt;"WIN"),SUMIF(L$24:L190,"WIN",K$24:K190)-SUM(W$23:W189),"")</f>
        <v/>
      </c>
      <c r="X190" s="41">
        <f>IF(AND(L190="LOSS",L191&lt;&gt;"LOSS"),SUMIF(L$24:L190,"LOSS",K$24:K190)-SUM(X$23:X189),"")</f>
        <v>-145.59848917347517</v>
      </c>
      <c r="Y190" s="8"/>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row>
    <row r="191" spans="1:53" ht="15.75">
      <c r="A191" s="149"/>
      <c r="B191" s="305" t="s">
        <v>235</v>
      </c>
      <c r="C191" s="306"/>
      <c r="D191" s="271">
        <v>48</v>
      </c>
      <c r="E191" s="272"/>
      <c r="F191" s="278">
        <f t="shared" si="23"/>
        <v>14414.2504281741</v>
      </c>
      <c r="G191" s="279"/>
      <c r="H191" s="275">
        <f t="shared" si="19"/>
        <v>144.142504281741</v>
      </c>
      <c r="I191" s="276"/>
      <c r="J191" s="277"/>
      <c r="K191" s="75">
        <f t="shared" si="24"/>
        <v>172.9710051380892</v>
      </c>
      <c r="L191" s="81" t="str">
        <f t="shared" si="20"/>
        <v>WIN</v>
      </c>
      <c r="M191" s="242">
        <f>IF(COUNTA($F$6:$F$10)=5,(F192-F24)/F24,"")</f>
        <v>0.45872214333121902</v>
      </c>
      <c r="N191" s="238">
        <f t="shared" si="21"/>
        <v>1</v>
      </c>
      <c r="O191" s="14" t="str">
        <f t="shared" si="22"/>
        <v>last</v>
      </c>
      <c r="P191" s="14"/>
      <c r="Q191" s="14"/>
      <c r="R191" s="14"/>
      <c r="S191" s="14"/>
      <c r="T191" s="14"/>
      <c r="U191" s="14"/>
      <c r="V191" s="14"/>
      <c r="W191" s="39">
        <f>IF(AND(L191="WIN",L192&lt;&gt;"WIN"),SUMIF(L$24:L191,"WIN",K$24:K191)-SUM(W$23:W190),"")</f>
        <v>172.97100513808982</v>
      </c>
      <c r="X191" s="41" t="str">
        <f>IF(AND(L191="LOSS",L192&lt;&gt;"LOSS"),SUMIF(L$24:L191,"LOSS",K$24:K191)-SUM(X$23:X190),"")</f>
        <v/>
      </c>
      <c r="Y191" s="8"/>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row>
    <row r="192" spans="1:53" ht="15.75">
      <c r="A192" s="149"/>
      <c r="B192" s="305" t="s">
        <v>236</v>
      </c>
      <c r="C192" s="306"/>
      <c r="D192" s="271">
        <v>74</v>
      </c>
      <c r="E192" s="272"/>
      <c r="F192" s="278">
        <f t="shared" si="23"/>
        <v>14587.22143331219</v>
      </c>
      <c r="G192" s="279"/>
      <c r="H192" s="275">
        <f t="shared" si="19"/>
        <v>145.87221433312192</v>
      </c>
      <c r="I192" s="276"/>
      <c r="J192" s="277"/>
      <c r="K192" s="75">
        <f t="shared" si="24"/>
        <v>-145.87221433312192</v>
      </c>
      <c r="L192" s="81" t="str">
        <f t="shared" si="20"/>
        <v>LOSS</v>
      </c>
      <c r="M192" s="242">
        <f>IF(COUNTA($F$6:$F$10)=5,(F193-F24)/F24,"")</f>
        <v>0.44413492189790688</v>
      </c>
      <c r="N192" s="238">
        <f t="shared" si="21"/>
        <v>1</v>
      </c>
      <c r="O192" s="14" t="str">
        <f t="shared" si="22"/>
        <v>new</v>
      </c>
      <c r="P192" s="14"/>
      <c r="Q192" s="14"/>
      <c r="R192" s="14"/>
      <c r="S192" s="14"/>
      <c r="T192" s="14"/>
      <c r="U192" s="14"/>
      <c r="V192" s="14"/>
      <c r="W192" s="39" t="str">
        <f>IF(AND(L192="WIN",L193&lt;&gt;"WIN"),SUMIF(L$24:L192,"WIN",K$24:K192)-SUM(W$23:W191),"")</f>
        <v/>
      </c>
      <c r="X192" s="41" t="str">
        <f>IF(AND(L192="LOSS",L193&lt;&gt;"LOSS"),SUMIF(L$24:L192,"LOSS",K$24:K192)-SUM(X$23:X191),"")</f>
        <v/>
      </c>
      <c r="Y192" s="8"/>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row>
    <row r="193" spans="1:53" ht="15.75">
      <c r="A193" s="149"/>
      <c r="B193" s="305" t="s">
        <v>237</v>
      </c>
      <c r="C193" s="306"/>
      <c r="D193" s="271">
        <v>57</v>
      </c>
      <c r="E193" s="272"/>
      <c r="F193" s="278">
        <f t="shared" si="23"/>
        <v>14441.349218979069</v>
      </c>
      <c r="G193" s="279"/>
      <c r="H193" s="275">
        <f t="shared" si="19"/>
        <v>144.4134921897907</v>
      </c>
      <c r="I193" s="276"/>
      <c r="J193" s="277"/>
      <c r="K193" s="75">
        <f t="shared" si="24"/>
        <v>-144.4134921897907</v>
      </c>
      <c r="L193" s="81" t="str">
        <f t="shared" si="20"/>
        <v>LOSS</v>
      </c>
      <c r="M193" s="242">
        <f>IF(COUNTA($F$6:$F$10)=5,(F194-F24)/F24,"")</f>
        <v>0.42969357267892772</v>
      </c>
      <c r="N193" s="238">
        <f t="shared" si="21"/>
        <v>2</v>
      </c>
      <c r="O193" s="14" t="str">
        <f t="shared" si="22"/>
        <v>middle</v>
      </c>
      <c r="P193" s="14"/>
      <c r="Q193" s="14"/>
      <c r="R193" s="14"/>
      <c r="S193" s="14"/>
      <c r="T193" s="14"/>
      <c r="U193" s="14"/>
      <c r="V193" s="14"/>
      <c r="W193" s="39" t="str">
        <f>IF(AND(L193="WIN",L194&lt;&gt;"WIN"),SUMIF(L$24:L193,"WIN",K$24:K193)-SUM(W$23:W192),"")</f>
        <v/>
      </c>
      <c r="X193" s="41" t="str">
        <f>IF(AND(L193="LOSS",L194&lt;&gt;"LOSS"),SUMIF(L$24:L193,"LOSS",K$24:K193)-SUM(X$23:X192),"")</f>
        <v/>
      </c>
      <c r="Y193" s="8"/>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row>
    <row r="194" spans="1:53" ht="15.75">
      <c r="A194" s="149"/>
      <c r="B194" s="305" t="s">
        <v>238</v>
      </c>
      <c r="C194" s="306"/>
      <c r="D194" s="271">
        <v>95</v>
      </c>
      <c r="E194" s="272"/>
      <c r="F194" s="278">
        <f t="shared" si="23"/>
        <v>14296.935726789277</v>
      </c>
      <c r="G194" s="279"/>
      <c r="H194" s="275">
        <f t="shared" si="19"/>
        <v>142.96935726789278</v>
      </c>
      <c r="I194" s="276"/>
      <c r="J194" s="277"/>
      <c r="K194" s="75">
        <f t="shared" si="24"/>
        <v>-142.96935726789278</v>
      </c>
      <c r="L194" s="81" t="str">
        <f t="shared" si="20"/>
        <v>LOSS</v>
      </c>
      <c r="M194" s="242">
        <f>IF(COUNTA($F$6:$F$10)=5,(F195-F24)/F24,"")</f>
        <v>0.41539663695213841</v>
      </c>
      <c r="N194" s="238">
        <f t="shared" si="21"/>
        <v>3</v>
      </c>
      <c r="O194" s="14" t="str">
        <f t="shared" si="22"/>
        <v>middle</v>
      </c>
      <c r="P194" s="14"/>
      <c r="Q194" s="14"/>
      <c r="R194" s="14"/>
      <c r="S194" s="14"/>
      <c r="T194" s="14"/>
      <c r="U194" s="14"/>
      <c r="V194" s="14"/>
      <c r="W194" s="39" t="str">
        <f>IF(AND(L194="WIN",L195&lt;&gt;"WIN"),SUMIF(L$24:L194,"WIN",K$24:K194)-SUM(W$23:W193),"")</f>
        <v/>
      </c>
      <c r="X194" s="41" t="str">
        <f>IF(AND(L194="LOSS",L195&lt;&gt;"LOSS"),SUMIF(L$24:L194,"LOSS",K$24:K194)-SUM(X$23:X193),"")</f>
        <v/>
      </c>
      <c r="Y194" s="8"/>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row>
    <row r="195" spans="1:53" ht="15.75">
      <c r="A195" s="149"/>
      <c r="B195" s="305" t="s">
        <v>239</v>
      </c>
      <c r="C195" s="306"/>
      <c r="D195" s="271">
        <v>92</v>
      </c>
      <c r="E195" s="272"/>
      <c r="F195" s="278">
        <f t="shared" si="23"/>
        <v>14153.966369521384</v>
      </c>
      <c r="G195" s="279"/>
      <c r="H195" s="275">
        <f t="shared" si="19"/>
        <v>141.53966369521385</v>
      </c>
      <c r="I195" s="276"/>
      <c r="J195" s="277"/>
      <c r="K195" s="75">
        <f t="shared" si="24"/>
        <v>-141.53966369521385</v>
      </c>
      <c r="L195" s="81" t="str">
        <f t="shared" si="20"/>
        <v>LOSS</v>
      </c>
      <c r="M195" s="242">
        <f>IF(COUNTA($F$6:$F$10)=5,(F196-F24)/F24,"")</f>
        <v>0.40124267058261703</v>
      </c>
      <c r="N195" s="238">
        <f t="shared" si="21"/>
        <v>4</v>
      </c>
      <c r="O195" s="14" t="str">
        <f t="shared" si="22"/>
        <v>middle</v>
      </c>
      <c r="P195" s="14"/>
      <c r="Q195" s="14"/>
      <c r="R195" s="14"/>
      <c r="S195" s="14"/>
      <c r="T195" s="14"/>
      <c r="U195" s="14"/>
      <c r="V195" s="14"/>
      <c r="W195" s="39" t="str">
        <f>IF(AND(L195="WIN",L196&lt;&gt;"WIN"),SUMIF(L$24:L195,"WIN",K$24:K195)-SUM(W$23:W194),"")</f>
        <v/>
      </c>
      <c r="X195" s="41" t="str">
        <f>IF(AND(L195="LOSS",L196&lt;&gt;"LOSS"),SUMIF(L$24:L195,"LOSS",K$24:K195)-SUM(X$23:X194),"")</f>
        <v/>
      </c>
      <c r="Y195" s="8"/>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row>
    <row r="196" spans="1:53" ht="15.75">
      <c r="A196" s="149"/>
      <c r="B196" s="305" t="s">
        <v>240</v>
      </c>
      <c r="C196" s="306"/>
      <c r="D196" s="271">
        <v>100</v>
      </c>
      <c r="E196" s="272"/>
      <c r="F196" s="278">
        <f t="shared" si="23"/>
        <v>14012.42670582617</v>
      </c>
      <c r="G196" s="279"/>
      <c r="H196" s="275">
        <f t="shared" si="19"/>
        <v>140.12426705826169</v>
      </c>
      <c r="I196" s="276"/>
      <c r="J196" s="277"/>
      <c r="K196" s="75">
        <f t="shared" si="24"/>
        <v>-140.12426705826169</v>
      </c>
      <c r="L196" s="81" t="str">
        <f t="shared" si="20"/>
        <v>LOSS</v>
      </c>
      <c r="M196" s="242">
        <f>IF(COUNTA($F$6:$F$10)=5,(F197-F24)/F24,"")</f>
        <v>0.38723024387679089</v>
      </c>
      <c r="N196" s="238">
        <f t="shared" si="21"/>
        <v>5</v>
      </c>
      <c r="O196" s="14" t="str">
        <f t="shared" si="22"/>
        <v>middle</v>
      </c>
      <c r="P196" s="14"/>
      <c r="Q196" s="14"/>
      <c r="R196" s="14"/>
      <c r="S196" s="14"/>
      <c r="T196" s="14"/>
      <c r="U196" s="14"/>
      <c r="V196" s="14"/>
      <c r="W196" s="39" t="str">
        <f>IF(AND(L196="WIN",L197&lt;&gt;"WIN"),SUMIF(L$24:L196,"WIN",K$24:K196)-SUM(W$23:W195),"")</f>
        <v/>
      </c>
      <c r="X196" s="41" t="str">
        <f>IF(AND(L196="LOSS",L197&lt;&gt;"LOSS"),SUMIF(L$24:L196,"LOSS",K$24:K196)-SUM(X$23:X195),"")</f>
        <v/>
      </c>
      <c r="Y196" s="8"/>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row>
    <row r="197" spans="1:53" ht="15.75">
      <c r="A197" s="149"/>
      <c r="B197" s="305" t="s">
        <v>241</v>
      </c>
      <c r="C197" s="306"/>
      <c r="D197" s="271">
        <v>84</v>
      </c>
      <c r="E197" s="272"/>
      <c r="F197" s="278">
        <f t="shared" si="23"/>
        <v>13872.302438767909</v>
      </c>
      <c r="G197" s="279"/>
      <c r="H197" s="275">
        <f t="shared" si="19"/>
        <v>138.72302438767909</v>
      </c>
      <c r="I197" s="276"/>
      <c r="J197" s="277"/>
      <c r="K197" s="75">
        <f t="shared" si="24"/>
        <v>-138.72302438767909</v>
      </c>
      <c r="L197" s="81" t="str">
        <f t="shared" si="20"/>
        <v>LOSS</v>
      </c>
      <c r="M197" s="242">
        <f>IF(COUNTA($F$6:$F$10)=5,(F198-F24)/F24,"")</f>
        <v>0.37335794143802303</v>
      </c>
      <c r="N197" s="238">
        <f t="shared" si="21"/>
        <v>6</v>
      </c>
      <c r="O197" s="14" t="str">
        <f t="shared" si="22"/>
        <v>middle</v>
      </c>
      <c r="P197" s="14"/>
      <c r="Q197" s="14"/>
      <c r="R197" s="14"/>
      <c r="S197" s="14"/>
      <c r="T197" s="14"/>
      <c r="U197" s="14"/>
      <c r="V197" s="14"/>
      <c r="W197" s="39" t="str">
        <f>IF(AND(L197="WIN",L198&lt;&gt;"WIN"),SUMIF(L$24:L197,"WIN",K$24:K197)-SUM(W$23:W196),"")</f>
        <v/>
      </c>
      <c r="X197" s="41" t="str">
        <f>IF(AND(L197="LOSS",L198&lt;&gt;"LOSS"),SUMIF(L$24:L197,"LOSS",K$24:K197)-SUM(X$23:X196),"")</f>
        <v/>
      </c>
      <c r="Y197" s="8"/>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row>
    <row r="198" spans="1:53" ht="15.75">
      <c r="A198" s="149"/>
      <c r="B198" s="305" t="s">
        <v>242</v>
      </c>
      <c r="C198" s="306"/>
      <c r="D198" s="271">
        <v>82</v>
      </c>
      <c r="E198" s="272"/>
      <c r="F198" s="278">
        <f t="shared" si="23"/>
        <v>13733.57941438023</v>
      </c>
      <c r="G198" s="279"/>
      <c r="H198" s="275">
        <f t="shared" si="19"/>
        <v>137.3357941438023</v>
      </c>
      <c r="I198" s="276"/>
      <c r="J198" s="277"/>
      <c r="K198" s="75">
        <f t="shared" si="24"/>
        <v>-137.3357941438023</v>
      </c>
      <c r="L198" s="81" t="str">
        <f t="shared" si="20"/>
        <v>LOSS</v>
      </c>
      <c r="M198" s="242">
        <f>IF(COUNTA($F$6:$F$10)=5,(F199-F24)/F24,"")</f>
        <v>0.35962436202364279</v>
      </c>
      <c r="N198" s="238">
        <f t="shared" si="21"/>
        <v>7</v>
      </c>
      <c r="O198" s="14" t="str">
        <f t="shared" si="22"/>
        <v>last</v>
      </c>
      <c r="P198" s="14"/>
      <c r="Q198" s="14"/>
      <c r="R198" s="14"/>
      <c r="S198" s="14"/>
      <c r="T198" s="14"/>
      <c r="U198" s="14"/>
      <c r="V198" s="14"/>
      <c r="W198" s="39" t="str">
        <f>IF(AND(L198="WIN",L199&lt;&gt;"WIN"),SUMIF(L$24:L198,"WIN",K$24:K198)-SUM(W$23:W197),"")</f>
        <v/>
      </c>
      <c r="X198" s="41">
        <f>IF(AND(L198="LOSS",L199&lt;&gt;"LOSS"),SUMIF(L$24:L198,"LOSS",K$24:K198)-SUM(X$23:X197),"")</f>
        <v>-990.97781307576224</v>
      </c>
      <c r="Y198" s="8"/>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row>
    <row r="199" spans="1:53" ht="15.75">
      <c r="A199" s="149"/>
      <c r="B199" s="305" t="s">
        <v>243</v>
      </c>
      <c r="C199" s="306"/>
      <c r="D199" s="271">
        <v>44</v>
      </c>
      <c r="E199" s="272"/>
      <c r="F199" s="278">
        <f t="shared" si="23"/>
        <v>13596.243620236428</v>
      </c>
      <c r="G199" s="279"/>
      <c r="H199" s="275">
        <f t="shared" si="19"/>
        <v>135.96243620236427</v>
      </c>
      <c r="I199" s="276"/>
      <c r="J199" s="277"/>
      <c r="K199" s="75">
        <f t="shared" si="24"/>
        <v>163.15492344283712</v>
      </c>
      <c r="L199" s="81" t="str">
        <f t="shared" si="20"/>
        <v>WIN</v>
      </c>
      <c r="M199" s="242">
        <f>IF(COUNTA($F$6:$F$10)=5,(F200-F24)/F24,"")</f>
        <v>0.37593985436792643</v>
      </c>
      <c r="N199" s="238">
        <f t="shared" si="21"/>
        <v>1</v>
      </c>
      <c r="O199" s="14" t="str">
        <f t="shared" si="22"/>
        <v>last</v>
      </c>
      <c r="P199" s="14"/>
      <c r="Q199" s="14"/>
      <c r="R199" s="14"/>
      <c r="S199" s="14"/>
      <c r="T199" s="14"/>
      <c r="U199" s="14"/>
      <c r="V199" s="14"/>
      <c r="W199" s="39">
        <f>IF(AND(L199="WIN",L200&lt;&gt;"WIN"),SUMIF(L$24:L199,"WIN",K$24:K199)-SUM(W$23:W198),"")</f>
        <v>163.15492344283666</v>
      </c>
      <c r="X199" s="41" t="str">
        <f>IF(AND(L199="LOSS",L200&lt;&gt;"LOSS"),SUMIF(L$24:L199,"LOSS",K$24:K199)-SUM(X$23:X198),"")</f>
        <v/>
      </c>
      <c r="Y199" s="8"/>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row>
    <row r="200" spans="1:53" ht="15.75">
      <c r="A200" s="149"/>
      <c r="B200" s="305" t="s">
        <v>244</v>
      </c>
      <c r="C200" s="306"/>
      <c r="D200" s="271">
        <v>99</v>
      </c>
      <c r="E200" s="272"/>
      <c r="F200" s="278">
        <f t="shared" si="23"/>
        <v>13759.398543679265</v>
      </c>
      <c r="G200" s="279"/>
      <c r="H200" s="275">
        <f t="shared" si="19"/>
        <v>137.59398543679265</v>
      </c>
      <c r="I200" s="276"/>
      <c r="J200" s="277"/>
      <c r="K200" s="75">
        <f t="shared" si="24"/>
        <v>-137.59398543679265</v>
      </c>
      <c r="L200" s="81" t="str">
        <f t="shared" si="20"/>
        <v>LOSS</v>
      </c>
      <c r="M200" s="242">
        <f>IF(COUNTA($F$6:$F$10)=5,(F201-F24)/F24,"")</f>
        <v>0.36218045582424713</v>
      </c>
      <c r="N200" s="238">
        <f t="shared" si="21"/>
        <v>1</v>
      </c>
      <c r="O200" s="14" t="str">
        <f t="shared" si="22"/>
        <v>new</v>
      </c>
      <c r="P200" s="14"/>
      <c r="Q200" s="14"/>
      <c r="R200" s="14"/>
      <c r="S200" s="14"/>
      <c r="T200" s="14"/>
      <c r="U200" s="14"/>
      <c r="V200" s="14"/>
      <c r="W200" s="39" t="str">
        <f>IF(AND(L200="WIN",L201&lt;&gt;"WIN"),SUMIF(L$24:L200,"WIN",K$24:K200)-SUM(W$23:W199),"")</f>
        <v/>
      </c>
      <c r="X200" s="41" t="str">
        <f>IF(AND(L200="LOSS",L201&lt;&gt;"LOSS"),SUMIF(L$24:L200,"LOSS",K$24:K200)-SUM(X$23:X199),"")</f>
        <v/>
      </c>
      <c r="Y200" s="8"/>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row>
    <row r="201" spans="1:53" ht="15.75">
      <c r="A201" s="149"/>
      <c r="B201" s="305" t="s">
        <v>245</v>
      </c>
      <c r="C201" s="306"/>
      <c r="D201" s="271">
        <v>80</v>
      </c>
      <c r="E201" s="272"/>
      <c r="F201" s="278">
        <f t="shared" si="23"/>
        <v>13621.804558242471</v>
      </c>
      <c r="G201" s="279"/>
      <c r="H201" s="275">
        <f t="shared" si="19"/>
        <v>136.21804558242471</v>
      </c>
      <c r="I201" s="276"/>
      <c r="J201" s="277"/>
      <c r="K201" s="75">
        <f t="shared" si="24"/>
        <v>-136.21804558242471</v>
      </c>
      <c r="L201" s="81" t="str">
        <f t="shared" si="20"/>
        <v>LOSS</v>
      </c>
      <c r="M201" s="242">
        <f>IF(COUNTA($F$6:$F$10)=5,(F202-F24)/F24,"")</f>
        <v>0.34855865126600455</v>
      </c>
      <c r="N201" s="238">
        <f t="shared" si="21"/>
        <v>2</v>
      </c>
      <c r="O201" s="14" t="str">
        <f t="shared" si="22"/>
        <v>middle</v>
      </c>
      <c r="P201" s="14"/>
      <c r="Q201" s="14"/>
      <c r="R201" s="14"/>
      <c r="S201" s="14"/>
      <c r="T201" s="14"/>
      <c r="U201" s="14"/>
      <c r="V201" s="14"/>
      <c r="W201" s="39" t="str">
        <f>IF(AND(L201="WIN",L202&lt;&gt;"WIN"),SUMIF(L$24:L201,"WIN",K$24:K201)-SUM(W$23:W200),"")</f>
        <v/>
      </c>
      <c r="X201" s="41" t="str">
        <f>IF(AND(L201="LOSS",L202&lt;&gt;"LOSS"),SUMIF(L$24:L201,"LOSS",K$24:K201)-SUM(X$23:X200),"")</f>
        <v/>
      </c>
      <c r="Y201" s="8"/>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row>
    <row r="202" spans="1:53" ht="15.75">
      <c r="A202" s="149"/>
      <c r="B202" s="305" t="s">
        <v>246</v>
      </c>
      <c r="C202" s="306"/>
      <c r="D202" s="271">
        <v>92</v>
      </c>
      <c r="E202" s="272"/>
      <c r="F202" s="278">
        <f t="shared" si="23"/>
        <v>13485.586512660046</v>
      </c>
      <c r="G202" s="279"/>
      <c r="H202" s="275">
        <f t="shared" si="19"/>
        <v>134.85586512660046</v>
      </c>
      <c r="I202" s="276"/>
      <c r="J202" s="277"/>
      <c r="K202" s="75">
        <f t="shared" si="24"/>
        <v>-134.85586512660046</v>
      </c>
      <c r="L202" s="81" t="str">
        <f t="shared" si="20"/>
        <v>LOSS</v>
      </c>
      <c r="M202" s="242">
        <f>IF(COUNTA($F$6:$F$10)=5,(F203-F24)/F24,"")</f>
        <v>0.33507306475334442</v>
      </c>
      <c r="N202" s="238">
        <f t="shared" si="21"/>
        <v>3</v>
      </c>
      <c r="O202" s="14" t="str">
        <f t="shared" si="22"/>
        <v>last</v>
      </c>
      <c r="P202" s="14"/>
      <c r="Q202" s="14"/>
      <c r="R202" s="14"/>
      <c r="S202" s="14"/>
      <c r="T202" s="14"/>
      <c r="U202" s="14"/>
      <c r="V202" s="14"/>
      <c r="W202" s="39" t="str">
        <f>IF(AND(L202="WIN",L203&lt;&gt;"WIN"),SUMIF(L$24:L202,"WIN",K$24:K202)-SUM(W$23:W201),"")</f>
        <v/>
      </c>
      <c r="X202" s="41">
        <f>IF(AND(L202="LOSS",L203&lt;&gt;"LOSS"),SUMIF(L$24:L202,"LOSS",K$24:K202)-SUM(X$23:X201),"")</f>
        <v>-408.66789614582012</v>
      </c>
      <c r="Y202" s="8"/>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row>
    <row r="203" spans="1:53" ht="15.75">
      <c r="A203" s="149"/>
      <c r="B203" s="305" t="s">
        <v>247</v>
      </c>
      <c r="C203" s="306"/>
      <c r="D203" s="271">
        <v>18</v>
      </c>
      <c r="E203" s="272"/>
      <c r="F203" s="278">
        <f t="shared" si="23"/>
        <v>13350.730647533444</v>
      </c>
      <c r="G203" s="279"/>
      <c r="H203" s="275">
        <f t="shared" si="19"/>
        <v>133.50730647533445</v>
      </c>
      <c r="I203" s="276"/>
      <c r="J203" s="277"/>
      <c r="K203" s="75">
        <f t="shared" si="24"/>
        <v>160.20876777040132</v>
      </c>
      <c r="L203" s="81" t="str">
        <f t="shared" si="20"/>
        <v>WIN</v>
      </c>
      <c r="M203" s="242">
        <f>IF(COUNTA($F$6:$F$10)=5,(F204-F24)/F24,"")</f>
        <v>0.35109394153038465</v>
      </c>
      <c r="N203" s="238">
        <f t="shared" si="21"/>
        <v>1</v>
      </c>
      <c r="O203" s="14" t="str">
        <f t="shared" si="22"/>
        <v>new</v>
      </c>
      <c r="P203" s="14"/>
      <c r="Q203" s="14"/>
      <c r="R203" s="14"/>
      <c r="S203" s="14"/>
      <c r="T203" s="14"/>
      <c r="U203" s="14"/>
      <c r="V203" s="14"/>
      <c r="W203" s="39" t="str">
        <f>IF(AND(L203="WIN",L204&lt;&gt;"WIN"),SUMIF(L$24:L203,"WIN",K$24:K203)-SUM(W$23:W202),"")</f>
        <v/>
      </c>
      <c r="X203" s="41" t="str">
        <f>IF(AND(L203="LOSS",L204&lt;&gt;"LOSS"),SUMIF(L$24:L203,"LOSS",K$24:K203)-SUM(X$23:X202),"")</f>
        <v/>
      </c>
      <c r="Y203" s="8"/>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row>
    <row r="204" spans="1:53" ht="15.75">
      <c r="A204" s="149"/>
      <c r="B204" s="305" t="s">
        <v>248</v>
      </c>
      <c r="C204" s="306"/>
      <c r="D204" s="271">
        <v>7</v>
      </c>
      <c r="E204" s="272"/>
      <c r="F204" s="278">
        <f t="shared" si="23"/>
        <v>13510.939415303847</v>
      </c>
      <c r="G204" s="279"/>
      <c r="H204" s="275">
        <f t="shared" si="19"/>
        <v>135.10939415303847</v>
      </c>
      <c r="I204" s="276"/>
      <c r="J204" s="277"/>
      <c r="K204" s="75">
        <f t="shared" si="24"/>
        <v>162.13127298364614</v>
      </c>
      <c r="L204" s="81" t="str">
        <f t="shared" si="20"/>
        <v>WIN</v>
      </c>
      <c r="M204" s="242">
        <f>IF(COUNTA($F$6:$F$10)=5,(F205-F24)/F24,"")</f>
        <v>0.36730706882874931</v>
      </c>
      <c r="N204" s="238">
        <f t="shared" si="21"/>
        <v>2</v>
      </c>
      <c r="O204" s="14" t="str">
        <f t="shared" si="22"/>
        <v>last</v>
      </c>
      <c r="P204" s="14"/>
      <c r="Q204" s="14"/>
      <c r="R204" s="14"/>
      <c r="S204" s="14"/>
      <c r="T204" s="14"/>
      <c r="U204" s="14"/>
      <c r="V204" s="14"/>
      <c r="W204" s="39">
        <f>IF(AND(L204="WIN",L205&lt;&gt;"WIN"),SUMIF(L$24:L204,"WIN",K$24:K204)-SUM(W$23:W203),"")</f>
        <v>322.34004075404846</v>
      </c>
      <c r="X204" s="41" t="str">
        <f>IF(AND(L204="LOSS",L205&lt;&gt;"LOSS"),SUMIF(L$24:L204,"LOSS",K$24:K204)-SUM(X$23:X203),"")</f>
        <v/>
      </c>
      <c r="Y204" s="8"/>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row>
    <row r="205" spans="1:53" ht="15.75">
      <c r="A205" s="149"/>
      <c r="B205" s="305" t="s">
        <v>249</v>
      </c>
      <c r="C205" s="306"/>
      <c r="D205" s="271">
        <v>73</v>
      </c>
      <c r="E205" s="272"/>
      <c r="F205" s="278">
        <f t="shared" si="23"/>
        <v>13673.070688287493</v>
      </c>
      <c r="G205" s="279"/>
      <c r="H205" s="275">
        <f t="shared" si="19"/>
        <v>136.73070688287493</v>
      </c>
      <c r="I205" s="276"/>
      <c r="J205" s="277"/>
      <c r="K205" s="75">
        <f t="shared" si="24"/>
        <v>-136.73070688287493</v>
      </c>
      <c r="L205" s="81" t="str">
        <f t="shared" si="20"/>
        <v>LOSS</v>
      </c>
      <c r="M205" s="242">
        <f>IF(COUNTA($F$6:$F$10)=5,(F206-F24)/F24,"")</f>
        <v>0.3536339981404617</v>
      </c>
      <c r="N205" s="238">
        <f t="shared" si="21"/>
        <v>1</v>
      </c>
      <c r="O205" s="14" t="str">
        <f t="shared" si="22"/>
        <v>new</v>
      </c>
      <c r="P205" s="14"/>
      <c r="Q205" s="14"/>
      <c r="R205" s="14"/>
      <c r="S205" s="14"/>
      <c r="T205" s="14"/>
      <c r="U205" s="14"/>
      <c r="V205" s="14"/>
      <c r="W205" s="39" t="str">
        <f>IF(AND(L205="WIN",L206&lt;&gt;"WIN"),SUMIF(L$24:L205,"WIN",K$24:K205)-SUM(W$23:W204),"")</f>
        <v/>
      </c>
      <c r="X205" s="41" t="str">
        <f>IF(AND(L205="LOSS",L206&lt;&gt;"LOSS"),SUMIF(L$24:L205,"LOSS",K$24:K205)-SUM(X$23:X204),"")</f>
        <v/>
      </c>
      <c r="Y205" s="8"/>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row>
    <row r="206" spans="1:53" ht="15.75">
      <c r="A206" s="149"/>
      <c r="B206" s="305" t="s">
        <v>250</v>
      </c>
      <c r="C206" s="306"/>
      <c r="D206" s="271">
        <v>74</v>
      </c>
      <c r="E206" s="272"/>
      <c r="F206" s="278">
        <f t="shared" si="23"/>
        <v>13536.339981404617</v>
      </c>
      <c r="G206" s="279"/>
      <c r="H206" s="275">
        <f t="shared" si="19"/>
        <v>135.36339981404618</v>
      </c>
      <c r="I206" s="276"/>
      <c r="J206" s="277"/>
      <c r="K206" s="75">
        <f t="shared" si="24"/>
        <v>-135.36339981404618</v>
      </c>
      <c r="L206" s="81" t="str">
        <f t="shared" si="20"/>
        <v>LOSS</v>
      </c>
      <c r="M206" s="242">
        <f>IF(COUNTA($F$6:$F$10)=5,(F207-F24)/F24,"")</f>
        <v>0.34009765815905701</v>
      </c>
      <c r="N206" s="238">
        <f t="shared" si="21"/>
        <v>2</v>
      </c>
      <c r="O206" s="14" t="str">
        <f t="shared" si="22"/>
        <v>middle</v>
      </c>
      <c r="P206" s="14"/>
      <c r="Q206" s="14"/>
      <c r="R206" s="14"/>
      <c r="S206" s="14"/>
      <c r="T206" s="14"/>
      <c r="U206" s="14"/>
      <c r="V206" s="14"/>
      <c r="W206" s="39" t="str">
        <f>IF(AND(L206="WIN",L207&lt;&gt;"WIN"),SUMIF(L$24:L206,"WIN",K$24:K206)-SUM(W$23:W205),"")</f>
        <v/>
      </c>
      <c r="X206" s="41" t="str">
        <f>IF(AND(L206="LOSS",L207&lt;&gt;"LOSS"),SUMIF(L$24:L206,"LOSS",K$24:K206)-SUM(X$23:X205),"")</f>
        <v/>
      </c>
      <c r="Y206" s="8"/>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row>
    <row r="207" spans="1:53" ht="15.75">
      <c r="A207" s="149"/>
      <c r="B207" s="305" t="s">
        <v>251</v>
      </c>
      <c r="C207" s="306"/>
      <c r="D207" s="271">
        <v>83</v>
      </c>
      <c r="E207" s="272"/>
      <c r="F207" s="278">
        <f t="shared" si="23"/>
        <v>13400.97658159057</v>
      </c>
      <c r="G207" s="279"/>
      <c r="H207" s="275">
        <f t="shared" si="19"/>
        <v>134.00976581590569</v>
      </c>
      <c r="I207" s="276"/>
      <c r="J207" s="277"/>
      <c r="K207" s="75">
        <f t="shared" si="24"/>
        <v>-134.00976581590569</v>
      </c>
      <c r="L207" s="81" t="str">
        <f t="shared" si="20"/>
        <v>LOSS</v>
      </c>
      <c r="M207" s="242">
        <f>IF(COUNTA($F$6:$F$10)=5,(F208-F24)/F24,"")</f>
        <v>0.3266966815774664</v>
      </c>
      <c r="N207" s="238">
        <f t="shared" si="21"/>
        <v>3</v>
      </c>
      <c r="O207" s="14" t="str">
        <f t="shared" si="22"/>
        <v>last</v>
      </c>
      <c r="P207" s="14"/>
      <c r="Q207" s="14"/>
      <c r="R207" s="14"/>
      <c r="S207" s="14"/>
      <c r="T207" s="14"/>
      <c r="U207" s="14"/>
      <c r="V207" s="14"/>
      <c r="W207" s="39" t="str">
        <f>IF(AND(L207="WIN",L208&lt;&gt;"WIN"),SUMIF(L$24:L207,"WIN",K$24:K207)-SUM(W$23:W206),"")</f>
        <v/>
      </c>
      <c r="X207" s="41">
        <f>IF(AND(L207="LOSS",L208&lt;&gt;"LOSS"),SUMIF(L$24:L207,"LOSS",K$24:K207)-SUM(X$23:X206),"")</f>
        <v>-406.10387251282737</v>
      </c>
      <c r="Y207" s="8"/>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row>
    <row r="208" spans="1:53" ht="15.75">
      <c r="A208" s="149"/>
      <c r="B208" s="305" t="s">
        <v>252</v>
      </c>
      <c r="C208" s="306"/>
      <c r="D208" s="271">
        <v>23</v>
      </c>
      <c r="E208" s="272"/>
      <c r="F208" s="278">
        <f t="shared" si="23"/>
        <v>13266.966815774664</v>
      </c>
      <c r="G208" s="279"/>
      <c r="H208" s="275">
        <f t="shared" si="19"/>
        <v>132.66966815774663</v>
      </c>
      <c r="I208" s="276"/>
      <c r="J208" s="277"/>
      <c r="K208" s="75">
        <f t="shared" si="24"/>
        <v>159.20360178929596</v>
      </c>
      <c r="L208" s="81" t="str">
        <f t="shared" si="20"/>
        <v>WIN</v>
      </c>
      <c r="M208" s="242">
        <f>IF(COUNTA($F$6:$F$10)=5,(F209-F24)/F24,"")</f>
        <v>0.34261704175639607</v>
      </c>
      <c r="N208" s="238">
        <f t="shared" si="21"/>
        <v>1</v>
      </c>
      <c r="O208" s="14" t="str">
        <f t="shared" si="22"/>
        <v>last</v>
      </c>
      <c r="P208" s="14"/>
      <c r="Q208" s="14"/>
      <c r="R208" s="14"/>
      <c r="S208" s="14"/>
      <c r="T208" s="14"/>
      <c r="U208" s="14"/>
      <c r="V208" s="14"/>
      <c r="W208" s="39">
        <f>IF(AND(L208="WIN",L209&lt;&gt;"WIN"),SUMIF(L$24:L208,"WIN",K$24:K208)-SUM(W$23:W207),"")</f>
        <v>159.20360178929513</v>
      </c>
      <c r="X208" s="41" t="str">
        <f>IF(AND(L208="LOSS",L209&lt;&gt;"LOSS"),SUMIF(L$24:L208,"LOSS",K$24:K208)-SUM(X$23:X207),"")</f>
        <v/>
      </c>
      <c r="Y208" s="8"/>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row>
    <row r="209" spans="1:53" ht="15.75">
      <c r="A209" s="149"/>
      <c r="B209" s="305" t="s">
        <v>253</v>
      </c>
      <c r="C209" s="306"/>
      <c r="D209" s="271">
        <v>61</v>
      </c>
      <c r="E209" s="272"/>
      <c r="F209" s="278">
        <f t="shared" si="23"/>
        <v>13426.170417563961</v>
      </c>
      <c r="G209" s="279"/>
      <c r="H209" s="275">
        <f t="shared" si="19"/>
        <v>134.26170417563961</v>
      </c>
      <c r="I209" s="276"/>
      <c r="J209" s="277"/>
      <c r="K209" s="75">
        <f t="shared" si="24"/>
        <v>-134.26170417563961</v>
      </c>
      <c r="L209" s="81" t="str">
        <f t="shared" si="20"/>
        <v>LOSS</v>
      </c>
      <c r="M209" s="242">
        <f>IF(COUNTA($F$6:$F$10)=5,(F210-F24)/F24,"")</f>
        <v>0.32919087133883201</v>
      </c>
      <c r="N209" s="238">
        <f t="shared" si="21"/>
        <v>1</v>
      </c>
      <c r="O209" s="14" t="str">
        <f t="shared" si="22"/>
        <v>last</v>
      </c>
      <c r="P209" s="14"/>
      <c r="Q209" s="14"/>
      <c r="R209" s="14"/>
      <c r="S209" s="14"/>
      <c r="T209" s="14"/>
      <c r="U209" s="14"/>
      <c r="V209" s="14"/>
      <c r="W209" s="39" t="str">
        <f>IF(AND(L209="WIN",L210&lt;&gt;"WIN"),SUMIF(L$24:L209,"WIN",K$24:K209)-SUM(W$23:W208),"")</f>
        <v/>
      </c>
      <c r="X209" s="41">
        <f>IF(AND(L209="LOSS",L210&lt;&gt;"LOSS"),SUMIF(L$24:L209,"LOSS",K$24:K209)-SUM(X$23:X208),"")</f>
        <v>-134.26170417564026</v>
      </c>
      <c r="Y209" s="8"/>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row>
    <row r="210" spans="1:53" ht="15.75">
      <c r="A210" s="149"/>
      <c r="B210" s="305" t="s">
        <v>254</v>
      </c>
      <c r="C210" s="306"/>
      <c r="D210" s="271">
        <v>31</v>
      </c>
      <c r="E210" s="272"/>
      <c r="F210" s="278">
        <f t="shared" si="23"/>
        <v>13291.90871338832</v>
      </c>
      <c r="G210" s="279"/>
      <c r="H210" s="275">
        <f t="shared" si="19"/>
        <v>132.91908713388321</v>
      </c>
      <c r="I210" s="276"/>
      <c r="J210" s="277"/>
      <c r="K210" s="75">
        <f t="shared" si="24"/>
        <v>159.50290456065986</v>
      </c>
      <c r="L210" s="81" t="str">
        <f t="shared" si="20"/>
        <v>WIN</v>
      </c>
      <c r="M210" s="242">
        <f>IF(COUNTA($F$6:$F$10)=5,(F211-F24)/F24,"")</f>
        <v>0.34514116179489812</v>
      </c>
      <c r="N210" s="238">
        <f t="shared" si="21"/>
        <v>1</v>
      </c>
      <c r="O210" s="14" t="str">
        <f t="shared" si="22"/>
        <v>new</v>
      </c>
      <c r="P210" s="14"/>
      <c r="Q210" s="14"/>
      <c r="R210" s="14"/>
      <c r="S210" s="14"/>
      <c r="T210" s="14"/>
      <c r="U210" s="14"/>
      <c r="V210" s="14"/>
      <c r="W210" s="39" t="str">
        <f>IF(AND(L210="WIN",L211&lt;&gt;"WIN"),SUMIF(L$24:L210,"WIN",K$24:K210)-SUM(W$23:W209),"")</f>
        <v/>
      </c>
      <c r="X210" s="41" t="str">
        <f>IF(AND(L210="LOSS",L211&lt;&gt;"LOSS"),SUMIF(L$24:L210,"LOSS",K$24:K210)-SUM(X$23:X209),"")</f>
        <v/>
      </c>
      <c r="Y210" s="8"/>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row>
    <row r="211" spans="1:53" ht="15.75">
      <c r="A211" s="149"/>
      <c r="B211" s="305" t="s">
        <v>255</v>
      </c>
      <c r="C211" s="306"/>
      <c r="D211" s="271">
        <v>19</v>
      </c>
      <c r="E211" s="272"/>
      <c r="F211" s="278">
        <f t="shared" si="23"/>
        <v>13451.411617948981</v>
      </c>
      <c r="G211" s="279"/>
      <c r="H211" s="275">
        <f t="shared" si="19"/>
        <v>134.5141161794898</v>
      </c>
      <c r="I211" s="276"/>
      <c r="J211" s="277"/>
      <c r="K211" s="75">
        <f t="shared" si="24"/>
        <v>161.41693941538776</v>
      </c>
      <c r="L211" s="81" t="str">
        <f t="shared" si="20"/>
        <v>WIN</v>
      </c>
      <c r="M211" s="242">
        <f>IF(COUNTA($F$6:$F$10)=5,(F212-F24)/F24,"")</f>
        <v>0.36128285573643698</v>
      </c>
      <c r="N211" s="238">
        <f t="shared" si="21"/>
        <v>2</v>
      </c>
      <c r="O211" s="14" t="str">
        <f t="shared" si="22"/>
        <v>last</v>
      </c>
      <c r="P211" s="14"/>
      <c r="Q211" s="14"/>
      <c r="R211" s="14"/>
      <c r="S211" s="14"/>
      <c r="T211" s="14"/>
      <c r="U211" s="14"/>
      <c r="V211" s="14"/>
      <c r="W211" s="39">
        <f>IF(AND(L211="WIN",L212&lt;&gt;"WIN"),SUMIF(L$24:L211,"WIN",K$24:K211)-SUM(W$23:W210),"")</f>
        <v>320.91984397604756</v>
      </c>
      <c r="X211" s="41" t="str">
        <f>IF(AND(L211="LOSS",L212&lt;&gt;"LOSS"),SUMIF(L$24:L211,"LOSS",K$24:K211)-SUM(X$23:X210),"")</f>
        <v/>
      </c>
      <c r="Y211" s="8"/>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row>
    <row r="212" spans="1:53" ht="15.75">
      <c r="A212" s="149"/>
      <c r="B212" s="305" t="s">
        <v>256</v>
      </c>
      <c r="C212" s="306"/>
      <c r="D212" s="271">
        <v>78</v>
      </c>
      <c r="E212" s="272"/>
      <c r="F212" s="278">
        <f t="shared" si="23"/>
        <v>13612.82855736437</v>
      </c>
      <c r="G212" s="279"/>
      <c r="H212" s="275">
        <f t="shared" si="19"/>
        <v>136.12828557364369</v>
      </c>
      <c r="I212" s="276"/>
      <c r="J212" s="277"/>
      <c r="K212" s="75">
        <f t="shared" si="24"/>
        <v>-136.12828557364369</v>
      </c>
      <c r="L212" s="81" t="str">
        <f t="shared" si="20"/>
        <v>LOSS</v>
      </c>
      <c r="M212" s="242">
        <f>IF(COUNTA($F$6:$F$10)=5,(F213-F24)/F24,"")</f>
        <v>0.34767002717907253</v>
      </c>
      <c r="N212" s="238">
        <f t="shared" si="21"/>
        <v>1</v>
      </c>
      <c r="O212" s="14" t="str">
        <f t="shared" si="22"/>
        <v>new</v>
      </c>
      <c r="P212" s="14"/>
      <c r="Q212" s="14"/>
      <c r="R212" s="14"/>
      <c r="S212" s="14"/>
      <c r="T212" s="14"/>
      <c r="U212" s="14"/>
      <c r="V212" s="14"/>
      <c r="W212" s="39" t="str">
        <f>IF(AND(L212="WIN",L213&lt;&gt;"WIN"),SUMIF(L$24:L212,"WIN",K$24:K212)-SUM(W$23:W211),"")</f>
        <v/>
      </c>
      <c r="X212" s="41" t="str">
        <f>IF(AND(L212="LOSS",L213&lt;&gt;"LOSS"),SUMIF(L$24:L212,"LOSS",K$24:K212)-SUM(X$23:X211),"")</f>
        <v/>
      </c>
      <c r="Y212" s="8"/>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row>
    <row r="213" spans="1:53" ht="15.75">
      <c r="A213" s="149"/>
      <c r="B213" s="305" t="s">
        <v>257</v>
      </c>
      <c r="C213" s="306"/>
      <c r="D213" s="271">
        <v>59</v>
      </c>
      <c r="E213" s="272"/>
      <c r="F213" s="278">
        <f t="shared" si="23"/>
        <v>13476.700271790725</v>
      </c>
      <c r="G213" s="279"/>
      <c r="H213" s="275">
        <f t="shared" si="19"/>
        <v>134.76700271790725</v>
      </c>
      <c r="I213" s="276"/>
      <c r="J213" s="277"/>
      <c r="K213" s="75">
        <f t="shared" si="24"/>
        <v>-134.76700271790725</v>
      </c>
      <c r="L213" s="81" t="str">
        <f t="shared" si="20"/>
        <v>LOSS</v>
      </c>
      <c r="M213" s="242">
        <f>IF(COUNTA($F$6:$F$10)=5,(F214-F24)/F24,"")</f>
        <v>0.33419332690728187</v>
      </c>
      <c r="N213" s="238">
        <f t="shared" si="21"/>
        <v>2</v>
      </c>
      <c r="O213" s="14" t="str">
        <f t="shared" si="22"/>
        <v>last</v>
      </c>
      <c r="P213" s="14"/>
      <c r="Q213" s="14"/>
      <c r="R213" s="14"/>
      <c r="S213" s="14"/>
      <c r="T213" s="14"/>
      <c r="U213" s="14"/>
      <c r="V213" s="14"/>
      <c r="W213" s="39" t="str">
        <f>IF(AND(L213="WIN",L214&lt;&gt;"WIN"),SUMIF(L$24:L213,"WIN",K$24:K213)-SUM(W$23:W212),"")</f>
        <v/>
      </c>
      <c r="X213" s="41">
        <f>IF(AND(L213="LOSS",L214&lt;&gt;"LOSS"),SUMIF(L$24:L213,"LOSS",K$24:K213)-SUM(X$23:X212),"")</f>
        <v>-270.89528829155097</v>
      </c>
      <c r="Y213" s="8"/>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row>
    <row r="214" spans="1:53" ht="15.75">
      <c r="A214" s="149"/>
      <c r="B214" s="305" t="s">
        <v>258</v>
      </c>
      <c r="C214" s="306"/>
      <c r="D214" s="271">
        <v>24</v>
      </c>
      <c r="E214" s="272"/>
      <c r="F214" s="278">
        <f t="shared" si="23"/>
        <v>13341.933269072819</v>
      </c>
      <c r="G214" s="279"/>
      <c r="H214" s="275">
        <f t="shared" si="19"/>
        <v>133.4193326907282</v>
      </c>
      <c r="I214" s="276"/>
      <c r="J214" s="277"/>
      <c r="K214" s="75">
        <f t="shared" si="24"/>
        <v>160.10319922887382</v>
      </c>
      <c r="L214" s="81" t="str">
        <f t="shared" si="20"/>
        <v>WIN</v>
      </c>
      <c r="M214" s="242">
        <f>IF(COUNTA($F$6:$F$10)=5,(F215-F24)/F24,"")</f>
        <v>0.35020364683016925</v>
      </c>
      <c r="N214" s="238">
        <f t="shared" si="21"/>
        <v>1</v>
      </c>
      <c r="O214" s="14" t="str">
        <f t="shared" si="22"/>
        <v>new</v>
      </c>
      <c r="P214" s="14"/>
      <c r="Q214" s="14"/>
      <c r="R214" s="14"/>
      <c r="S214" s="14"/>
      <c r="T214" s="14"/>
      <c r="U214" s="14"/>
      <c r="V214" s="14"/>
      <c r="W214" s="39" t="str">
        <f>IF(AND(L214="WIN",L215&lt;&gt;"WIN"),SUMIF(L$24:L214,"WIN",K$24:K214)-SUM(W$23:W213),"")</f>
        <v/>
      </c>
      <c r="X214" s="41" t="str">
        <f>IF(AND(L214="LOSS",L215&lt;&gt;"LOSS"),SUMIF(L$24:L214,"LOSS",K$24:K214)-SUM(X$23:X213),"")</f>
        <v/>
      </c>
      <c r="Y214" s="8"/>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row>
    <row r="215" spans="1:53" ht="15.75">
      <c r="A215" s="149"/>
      <c r="B215" s="305" t="s">
        <v>259</v>
      </c>
      <c r="C215" s="306"/>
      <c r="D215" s="271">
        <v>14</v>
      </c>
      <c r="E215" s="272"/>
      <c r="F215" s="278">
        <f t="shared" si="23"/>
        <v>13502.036468301692</v>
      </c>
      <c r="G215" s="279"/>
      <c r="H215" s="275">
        <f t="shared" si="19"/>
        <v>135.02036468301694</v>
      </c>
      <c r="I215" s="276"/>
      <c r="J215" s="277"/>
      <c r="K215" s="75">
        <f t="shared" si="24"/>
        <v>162.02443761962033</v>
      </c>
      <c r="L215" s="81" t="str">
        <f t="shared" si="20"/>
        <v>WIN</v>
      </c>
      <c r="M215" s="242">
        <f>IF(COUNTA($F$6:$F$10)=5,(F216-F24)/F24,"")</f>
        <v>0.36640609059213131</v>
      </c>
      <c r="N215" s="238">
        <f t="shared" si="21"/>
        <v>2</v>
      </c>
      <c r="O215" s="14" t="str">
        <f t="shared" si="22"/>
        <v>last</v>
      </c>
      <c r="P215" s="14"/>
      <c r="Q215" s="14"/>
      <c r="R215" s="14"/>
      <c r="S215" s="14"/>
      <c r="T215" s="14"/>
      <c r="U215" s="14"/>
      <c r="V215" s="14"/>
      <c r="W215" s="39">
        <f>IF(AND(L215="WIN",L216&lt;&gt;"WIN"),SUMIF(L$24:L215,"WIN",K$24:K215)-SUM(W$23:W214),"")</f>
        <v>322.12763684849415</v>
      </c>
      <c r="X215" s="41" t="str">
        <f>IF(AND(L215="LOSS",L216&lt;&gt;"LOSS"),SUMIF(L$24:L215,"LOSS",K$24:K215)-SUM(X$23:X214),"")</f>
        <v/>
      </c>
      <c r="Y215" s="8"/>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row>
    <row r="216" spans="1:53" ht="15.75">
      <c r="A216" s="149"/>
      <c r="B216" s="305" t="s">
        <v>260</v>
      </c>
      <c r="C216" s="306"/>
      <c r="D216" s="271">
        <v>57</v>
      </c>
      <c r="E216" s="272"/>
      <c r="F216" s="278">
        <f t="shared" si="23"/>
        <v>13664.060905921313</v>
      </c>
      <c r="G216" s="279"/>
      <c r="H216" s="275">
        <f t="shared" si="19"/>
        <v>136.64060905921312</v>
      </c>
      <c r="I216" s="276"/>
      <c r="J216" s="277"/>
      <c r="K216" s="75">
        <f t="shared" si="24"/>
        <v>-136.64060905921312</v>
      </c>
      <c r="L216" s="81" t="str">
        <f t="shared" si="20"/>
        <v>LOSS</v>
      </c>
      <c r="M216" s="242">
        <f>IF(COUNTA($F$6:$F$10)=5,(F217-F24)/F24,"")</f>
        <v>0.35274202968620993</v>
      </c>
      <c r="N216" s="238">
        <f t="shared" si="21"/>
        <v>1</v>
      </c>
      <c r="O216" s="14" t="str">
        <f t="shared" si="22"/>
        <v>new</v>
      </c>
      <c r="P216" s="14"/>
      <c r="Q216" s="14"/>
      <c r="R216" s="14"/>
      <c r="S216" s="14"/>
      <c r="T216" s="14"/>
      <c r="U216" s="14"/>
      <c r="V216" s="14"/>
      <c r="W216" s="39" t="str">
        <f>IF(AND(L216="WIN",L217&lt;&gt;"WIN"),SUMIF(L$24:L216,"WIN",K$24:K216)-SUM(W$23:W215),"")</f>
        <v/>
      </c>
      <c r="X216" s="41" t="str">
        <f>IF(AND(L216="LOSS",L217&lt;&gt;"LOSS"),SUMIF(L$24:L216,"LOSS",K$24:K216)-SUM(X$23:X215),"")</f>
        <v/>
      </c>
      <c r="Y216" s="8"/>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row>
    <row r="217" spans="1:53" ht="15.75">
      <c r="A217" s="149"/>
      <c r="B217" s="305" t="s">
        <v>261</v>
      </c>
      <c r="C217" s="306"/>
      <c r="D217" s="271">
        <v>68</v>
      </c>
      <c r="E217" s="272"/>
      <c r="F217" s="278">
        <f t="shared" si="23"/>
        <v>13527.420296862099</v>
      </c>
      <c r="G217" s="279"/>
      <c r="H217" s="275">
        <f t="shared" ref="H217:H280" si="25">IF(COUNTBLANK($F$6:$F$10),"",F217*$F$7)</f>
        <v>135.27420296862098</v>
      </c>
      <c r="I217" s="276"/>
      <c r="J217" s="277"/>
      <c r="K217" s="75">
        <f t="shared" si="24"/>
        <v>-135.27420296862098</v>
      </c>
      <c r="L217" s="81" t="str">
        <f t="shared" ref="L217:L280" si="26">IF(D217="","",IF(D217&lt;$F$8,"WIN","LOSS"))</f>
        <v>LOSS</v>
      </c>
      <c r="M217" s="242">
        <f>IF(COUNTA($F$6:$F$10)=5,(F218-F24)/F24,"")</f>
        <v>0.33921460938934778</v>
      </c>
      <c r="N217" s="238">
        <f t="shared" ref="N217:N280" si="27">IF(L217=L216,N216+1,1)</f>
        <v>2</v>
      </c>
      <c r="O217" s="14" t="str">
        <f t="shared" ref="O217:O280" si="28">IF(N217=1,IF(N218=1,"last","new"),IF(N218=1,"last","middle"))</f>
        <v>last</v>
      </c>
      <c r="P217" s="14"/>
      <c r="Q217" s="14"/>
      <c r="R217" s="14"/>
      <c r="S217" s="14"/>
      <c r="T217" s="14"/>
      <c r="U217" s="14"/>
      <c r="V217" s="14"/>
      <c r="W217" s="39" t="str">
        <f>IF(AND(L217="WIN",L218&lt;&gt;"WIN"),SUMIF(L$24:L217,"WIN",K$24:K217)-SUM(W$23:W216),"")</f>
        <v/>
      </c>
      <c r="X217" s="41">
        <f>IF(AND(L217="LOSS",L218&lt;&gt;"LOSS"),SUMIF(L$24:L217,"LOSS",K$24:K217)-SUM(X$23:X216),"")</f>
        <v>-271.91481202783507</v>
      </c>
      <c r="Y217" s="8"/>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row>
    <row r="218" spans="1:53" ht="15.75">
      <c r="A218" s="149"/>
      <c r="B218" s="305" t="s">
        <v>262</v>
      </c>
      <c r="C218" s="306"/>
      <c r="D218" s="271">
        <v>2</v>
      </c>
      <c r="E218" s="272"/>
      <c r="F218" s="278">
        <f t="shared" ref="F218:F281" si="29">IF(COUNTBLANK($F$6:$F$10),"",IF(D217&lt;$F$8,(1+$F$7*$F$9)*F217-$F$10,(1-$F$7)*F217-$F$10))</f>
        <v>13392.146093893478</v>
      </c>
      <c r="G218" s="279"/>
      <c r="H218" s="275">
        <f t="shared" si="25"/>
        <v>133.92146093893479</v>
      </c>
      <c r="I218" s="276"/>
      <c r="J218" s="277"/>
      <c r="K218" s="75">
        <f t="shared" ref="K218:K281" si="30">IF(COUNTBLANK($F$6:$F$10),"", IF(L218="win", H218*$F$9-$F$10, IF(L218="loss", -H218-$F$10)))</f>
        <v>160.70575312672173</v>
      </c>
      <c r="L218" s="81" t="str">
        <f t="shared" si="26"/>
        <v>WIN</v>
      </c>
      <c r="M218" s="242">
        <f>IF(COUNTA($F$6:$F$10)=5,(F219-F24)/F24,"")</f>
        <v>0.35528518470201997</v>
      </c>
      <c r="N218" s="238">
        <f t="shared" si="27"/>
        <v>1</v>
      </c>
      <c r="O218" s="14" t="str">
        <f t="shared" si="28"/>
        <v>new</v>
      </c>
      <c r="P218" s="14"/>
      <c r="Q218" s="14"/>
      <c r="R218" s="14"/>
      <c r="S218" s="14"/>
      <c r="T218" s="14"/>
      <c r="U218" s="14"/>
      <c r="V218" s="14"/>
      <c r="W218" s="39" t="str">
        <f>IF(AND(L218="WIN",L219&lt;&gt;"WIN"),SUMIF(L$24:L218,"WIN",K$24:K218)-SUM(W$23:W217),"")</f>
        <v/>
      </c>
      <c r="X218" s="41" t="str">
        <f>IF(AND(L218="LOSS",L219&lt;&gt;"LOSS"),SUMIF(L$24:L218,"LOSS",K$24:K218)-SUM(X$23:X217),"")</f>
        <v/>
      </c>
      <c r="Y218" s="8"/>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row>
    <row r="219" spans="1:53" ht="15.75">
      <c r="A219" s="149"/>
      <c r="B219" s="305" t="s">
        <v>263</v>
      </c>
      <c r="C219" s="306"/>
      <c r="D219" s="271">
        <v>22</v>
      </c>
      <c r="E219" s="272"/>
      <c r="F219" s="278">
        <f t="shared" si="29"/>
        <v>13552.8518470202</v>
      </c>
      <c r="G219" s="279"/>
      <c r="H219" s="275">
        <f t="shared" si="25"/>
        <v>135.52851847020199</v>
      </c>
      <c r="I219" s="276"/>
      <c r="J219" s="277"/>
      <c r="K219" s="75">
        <f t="shared" si="30"/>
        <v>162.63422216424237</v>
      </c>
      <c r="L219" s="81" t="str">
        <f t="shared" si="26"/>
        <v>WIN</v>
      </c>
      <c r="M219" s="242">
        <f>IF(COUNTA($F$6:$F$10)=5,(F220-F24)/F24,"")</f>
        <v>0.37154860691844421</v>
      </c>
      <c r="N219" s="238">
        <f t="shared" si="27"/>
        <v>2</v>
      </c>
      <c r="O219" s="14" t="str">
        <f t="shared" si="28"/>
        <v>last</v>
      </c>
      <c r="P219" s="14"/>
      <c r="Q219" s="14"/>
      <c r="R219" s="14"/>
      <c r="S219" s="14"/>
      <c r="T219" s="14"/>
      <c r="U219" s="14"/>
      <c r="V219" s="14"/>
      <c r="W219" s="39">
        <f>IF(AND(L219="WIN",L220&lt;&gt;"WIN"),SUMIF(L$24:L219,"WIN",K$24:K219)-SUM(W$23:W218),"")</f>
        <v>323.3399752909645</v>
      </c>
      <c r="X219" s="41" t="str">
        <f>IF(AND(L219="LOSS",L220&lt;&gt;"LOSS"),SUMIF(L$24:L219,"LOSS",K$24:K219)-SUM(X$23:X218),"")</f>
        <v/>
      </c>
      <c r="Y219" s="8"/>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row>
    <row r="220" spans="1:53" ht="15.75">
      <c r="A220" s="149"/>
      <c r="B220" s="305" t="s">
        <v>264</v>
      </c>
      <c r="C220" s="306"/>
      <c r="D220" s="271">
        <v>69</v>
      </c>
      <c r="E220" s="272"/>
      <c r="F220" s="278">
        <f t="shared" si="29"/>
        <v>13715.486069184442</v>
      </c>
      <c r="G220" s="279"/>
      <c r="H220" s="275">
        <f t="shared" si="25"/>
        <v>137.15486069184442</v>
      </c>
      <c r="I220" s="276"/>
      <c r="J220" s="277"/>
      <c r="K220" s="75">
        <f t="shared" si="30"/>
        <v>-137.15486069184442</v>
      </c>
      <c r="L220" s="81" t="str">
        <f t="shared" si="26"/>
        <v>LOSS</v>
      </c>
      <c r="M220" s="242">
        <f>IF(COUNTA($F$6:$F$10)=5,(F221-F24)/F24,"")</f>
        <v>0.35783312084925983</v>
      </c>
      <c r="N220" s="238">
        <f t="shared" si="27"/>
        <v>1</v>
      </c>
      <c r="O220" s="14" t="str">
        <f t="shared" si="28"/>
        <v>last</v>
      </c>
      <c r="P220" s="14"/>
      <c r="Q220" s="14"/>
      <c r="R220" s="14"/>
      <c r="S220" s="14"/>
      <c r="T220" s="14"/>
      <c r="U220" s="14"/>
      <c r="V220" s="14"/>
      <c r="W220" s="39" t="str">
        <f>IF(AND(L220="WIN",L221&lt;&gt;"WIN"),SUMIF(L$24:L220,"WIN",K$24:K220)-SUM(W$23:W219),"")</f>
        <v/>
      </c>
      <c r="X220" s="41">
        <f>IF(AND(L220="LOSS",L221&lt;&gt;"LOSS"),SUMIF(L$24:L220,"LOSS",K$24:K220)-SUM(X$23:X219),"")</f>
        <v>-137.15486069184408</v>
      </c>
      <c r="Y220" s="8"/>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row>
    <row r="221" spans="1:53" ht="15.75">
      <c r="A221" s="149"/>
      <c r="B221" s="305" t="s">
        <v>265</v>
      </c>
      <c r="C221" s="306"/>
      <c r="D221" s="271">
        <v>35</v>
      </c>
      <c r="E221" s="272"/>
      <c r="F221" s="278">
        <f t="shared" si="29"/>
        <v>13578.331208492598</v>
      </c>
      <c r="G221" s="279"/>
      <c r="H221" s="275">
        <f t="shared" si="25"/>
        <v>135.783312084926</v>
      </c>
      <c r="I221" s="276"/>
      <c r="J221" s="277"/>
      <c r="K221" s="75">
        <f t="shared" si="30"/>
        <v>162.93997450191119</v>
      </c>
      <c r="L221" s="81" t="str">
        <f t="shared" si="26"/>
        <v>WIN</v>
      </c>
      <c r="M221" s="242">
        <f>IF(COUNTA($F$6:$F$10)=5,(F222-F24)/F24,"")</f>
        <v>0.37412711829945094</v>
      </c>
      <c r="N221" s="238">
        <f t="shared" si="27"/>
        <v>1</v>
      </c>
      <c r="O221" s="14" t="str">
        <f t="shared" si="28"/>
        <v>last</v>
      </c>
      <c r="P221" s="14"/>
      <c r="Q221" s="14"/>
      <c r="R221" s="14"/>
      <c r="S221" s="14"/>
      <c r="T221" s="14"/>
      <c r="U221" s="14"/>
      <c r="V221" s="14"/>
      <c r="W221" s="39">
        <f>IF(AND(L221="WIN",L222&lt;&gt;"WIN"),SUMIF(L$24:L221,"WIN",K$24:K221)-SUM(W$23:W220),"")</f>
        <v>162.93997450191091</v>
      </c>
      <c r="X221" s="41" t="str">
        <f>IF(AND(L221="LOSS",L222&lt;&gt;"LOSS"),SUMIF(L$24:L221,"LOSS",K$24:K221)-SUM(X$23:X220),"")</f>
        <v/>
      </c>
      <c r="Y221" s="8"/>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row>
    <row r="222" spans="1:53" ht="16.5" thickBot="1">
      <c r="A222" s="149"/>
      <c r="B222" s="400" t="s">
        <v>266</v>
      </c>
      <c r="C222" s="401"/>
      <c r="D222" s="415">
        <v>68</v>
      </c>
      <c r="E222" s="416"/>
      <c r="F222" s="469">
        <f t="shared" si="29"/>
        <v>13741.271182994509</v>
      </c>
      <c r="G222" s="470"/>
      <c r="H222" s="390">
        <f t="shared" si="25"/>
        <v>137.4127118299451</v>
      </c>
      <c r="I222" s="391"/>
      <c r="J222" s="392"/>
      <c r="K222" s="76">
        <f t="shared" si="30"/>
        <v>-137.4127118299451</v>
      </c>
      <c r="L222" s="82" t="str">
        <f t="shared" si="26"/>
        <v>LOSS</v>
      </c>
      <c r="M222" s="243">
        <f>IF(COUNTA($F$6:$F$10)=5,(F223-F24)/F24,"")</f>
        <v>0.36038584711645633</v>
      </c>
      <c r="N222" s="238">
        <f t="shared" si="27"/>
        <v>1</v>
      </c>
      <c r="O222" s="14" t="str">
        <f t="shared" si="28"/>
        <v>new</v>
      </c>
      <c r="P222" s="14"/>
      <c r="Q222" s="14"/>
      <c r="R222" s="14"/>
      <c r="S222" s="14"/>
      <c r="T222" s="14"/>
      <c r="U222" s="14"/>
      <c r="V222" s="14"/>
      <c r="W222" s="39" t="str">
        <f>IF(AND(L222="WIN",L223&lt;&gt;"WIN"),SUMIF(L$24:L222,"WIN",K$24:K222)-SUM(W$23:W221),"")</f>
        <v/>
      </c>
      <c r="X222" s="41" t="str">
        <f>IF(AND(L222="LOSS",L223&lt;&gt;"LOSS"),SUMIF(L$24:L222,"LOSS",K$24:K222)-SUM(X$23:X221),"")</f>
        <v/>
      </c>
      <c r="Y222" s="8"/>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row>
    <row r="223" spans="1:53" ht="17.25" thickTop="1" thickBot="1">
      <c r="A223" s="149"/>
      <c r="B223" s="406" t="s">
        <v>267</v>
      </c>
      <c r="C223" s="407"/>
      <c r="D223" s="417">
        <v>72</v>
      </c>
      <c r="E223" s="418"/>
      <c r="F223" s="471">
        <f t="shared" si="29"/>
        <v>13603.858471164564</v>
      </c>
      <c r="G223" s="472"/>
      <c r="H223" s="432">
        <f t="shared" si="25"/>
        <v>136.03858471164563</v>
      </c>
      <c r="I223" s="433"/>
      <c r="J223" s="434"/>
      <c r="K223" s="79">
        <f t="shared" si="30"/>
        <v>-136.03858471164563</v>
      </c>
      <c r="L223" s="80" t="str">
        <f t="shared" si="26"/>
        <v>LOSS</v>
      </c>
      <c r="M223" s="244">
        <f>IF(COUNTA($F$6:$F$10)=5,(F224-F24)/F24,"")</f>
        <v>0.34678198864529186</v>
      </c>
      <c r="N223" s="238">
        <f t="shared" si="27"/>
        <v>2</v>
      </c>
      <c r="O223" s="14" t="str">
        <f t="shared" si="28"/>
        <v>middle</v>
      </c>
      <c r="P223" s="14"/>
      <c r="Q223" s="14"/>
      <c r="R223" s="14"/>
      <c r="S223" s="14"/>
      <c r="T223" s="14"/>
      <c r="U223" s="14"/>
      <c r="V223" s="14"/>
      <c r="W223" s="39" t="str">
        <f>IF(AND(L223="WIN",L224&lt;&gt;"WIN"),SUMIF(L$24:L223,"WIN",K$24:K223)-SUM(W$23:W222),"")</f>
        <v/>
      </c>
      <c r="X223" s="41" t="str">
        <f>IF(AND(L223="LOSS",L224&lt;&gt;"LOSS"),SUMIF(L$24:L223,"LOSS",K$24:K223)-SUM(X$23:X222),"")</f>
        <v/>
      </c>
      <c r="Y223" s="8"/>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row>
    <row r="224" spans="1:53" ht="16.5" thickTop="1">
      <c r="A224" s="149"/>
      <c r="B224" s="408" t="s">
        <v>268</v>
      </c>
      <c r="C224" s="409"/>
      <c r="D224" s="419">
        <v>80</v>
      </c>
      <c r="E224" s="420"/>
      <c r="F224" s="473">
        <f t="shared" si="29"/>
        <v>13467.819886452919</v>
      </c>
      <c r="G224" s="474"/>
      <c r="H224" s="429">
        <f t="shared" si="25"/>
        <v>134.67819886452918</v>
      </c>
      <c r="I224" s="430"/>
      <c r="J224" s="431"/>
      <c r="K224" s="77">
        <f t="shared" si="30"/>
        <v>-134.67819886452918</v>
      </c>
      <c r="L224" s="81" t="str">
        <f t="shared" si="26"/>
        <v>LOSS</v>
      </c>
      <c r="M224" s="242">
        <f>IF(COUNTA($F$6:$F$10)=5,(F225-F24)/F24,"")</f>
        <v>0.33331416875883896</v>
      </c>
      <c r="N224" s="238">
        <f t="shared" si="27"/>
        <v>3</v>
      </c>
      <c r="O224" s="14" t="str">
        <f t="shared" si="28"/>
        <v>middle</v>
      </c>
      <c r="P224" s="14"/>
      <c r="Q224" s="14"/>
      <c r="R224" s="14"/>
      <c r="S224" s="14"/>
      <c r="T224" s="14"/>
      <c r="U224" s="14"/>
      <c r="V224" s="14"/>
      <c r="W224" s="39" t="str">
        <f>IF(AND(L224="WIN",L225&lt;&gt;"WIN"),SUMIF(L$24:L224,"WIN",K$24:K224)-SUM(W$23:W223),"")</f>
        <v/>
      </c>
      <c r="X224" s="41" t="str">
        <f>IF(AND(L224="LOSS",L225&lt;&gt;"LOSS"),SUMIF(L$24:L224,"LOSS",K$24:K224)-SUM(X$23:X223),"")</f>
        <v/>
      </c>
      <c r="Y224" s="8"/>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row>
    <row r="225" spans="1:53" ht="15.75">
      <c r="A225" s="149"/>
      <c r="B225" s="305" t="s">
        <v>269</v>
      </c>
      <c r="C225" s="306"/>
      <c r="D225" s="271">
        <v>67</v>
      </c>
      <c r="E225" s="272"/>
      <c r="F225" s="278">
        <f t="shared" si="29"/>
        <v>13333.14168758839</v>
      </c>
      <c r="G225" s="279"/>
      <c r="H225" s="275">
        <f t="shared" si="25"/>
        <v>133.33141687588389</v>
      </c>
      <c r="I225" s="276"/>
      <c r="J225" s="277"/>
      <c r="K225" s="75">
        <f t="shared" si="30"/>
        <v>-133.33141687588389</v>
      </c>
      <c r="L225" s="81" t="str">
        <f t="shared" si="26"/>
        <v>LOSS</v>
      </c>
      <c r="M225" s="242">
        <f>IF(COUNTA($F$6:$F$10)=5,(F226-F24)/F24,"")</f>
        <v>0.31998102707125053</v>
      </c>
      <c r="N225" s="238">
        <f t="shared" si="27"/>
        <v>4</v>
      </c>
      <c r="O225" s="14" t="str">
        <f t="shared" si="28"/>
        <v>middle</v>
      </c>
      <c r="P225" s="14"/>
      <c r="Q225" s="14"/>
      <c r="R225" s="14"/>
      <c r="S225" s="14"/>
      <c r="T225" s="14"/>
      <c r="U225" s="14"/>
      <c r="V225" s="14"/>
      <c r="W225" s="39" t="str">
        <f>IF(AND(L225="WIN",L226&lt;&gt;"WIN"),SUMIF(L$24:L225,"WIN",K$24:K225)-SUM(W$23:W224),"")</f>
        <v/>
      </c>
      <c r="X225" s="41" t="str">
        <f>IF(AND(L225="LOSS",L226&lt;&gt;"LOSS"),SUMIF(L$24:L225,"LOSS",K$24:K225)-SUM(X$23:X224),"")</f>
        <v/>
      </c>
      <c r="Y225" s="8"/>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row>
    <row r="226" spans="1:53" ht="15.75">
      <c r="A226" s="149"/>
      <c r="B226" s="305" t="s">
        <v>270</v>
      </c>
      <c r="C226" s="306"/>
      <c r="D226" s="271">
        <v>86</v>
      </c>
      <c r="E226" s="272"/>
      <c r="F226" s="278">
        <f t="shared" si="29"/>
        <v>13199.810270712505</v>
      </c>
      <c r="G226" s="279"/>
      <c r="H226" s="275">
        <f t="shared" si="25"/>
        <v>131.99810270712504</v>
      </c>
      <c r="I226" s="276"/>
      <c r="J226" s="277"/>
      <c r="K226" s="75">
        <f t="shared" si="30"/>
        <v>-131.99810270712504</v>
      </c>
      <c r="L226" s="81" t="str">
        <f t="shared" si="26"/>
        <v>LOSS</v>
      </c>
      <c r="M226" s="242">
        <f>IF(COUNTA($F$6:$F$10)=5,(F227-F24)/F24,"")</f>
        <v>0.3067812168005381</v>
      </c>
      <c r="N226" s="238">
        <f t="shared" si="27"/>
        <v>5</v>
      </c>
      <c r="O226" s="14" t="str">
        <f t="shared" si="28"/>
        <v>last</v>
      </c>
      <c r="P226" s="14"/>
      <c r="Q226" s="14"/>
      <c r="R226" s="14"/>
      <c r="S226" s="14"/>
      <c r="T226" s="14"/>
      <c r="U226" s="14"/>
      <c r="V226" s="14"/>
      <c r="W226" s="39" t="str">
        <f>IF(AND(L226="WIN",L227&lt;&gt;"WIN"),SUMIF(L$24:L226,"WIN",K$24:K226)-SUM(W$23:W225),"")</f>
        <v/>
      </c>
      <c r="X226" s="41">
        <f>IF(AND(L226="LOSS",L227&lt;&gt;"LOSS"),SUMIF(L$24:L226,"LOSS",K$24:K226)-SUM(X$23:X225),"")</f>
        <v>-673.45901498912826</v>
      </c>
      <c r="Y226" s="8"/>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row>
    <row r="227" spans="1:53" ht="15.75">
      <c r="A227" s="149"/>
      <c r="B227" s="305" t="s">
        <v>271</v>
      </c>
      <c r="C227" s="306"/>
      <c r="D227" s="271">
        <v>3</v>
      </c>
      <c r="E227" s="272"/>
      <c r="F227" s="278">
        <f t="shared" si="29"/>
        <v>13067.812168005381</v>
      </c>
      <c r="G227" s="279"/>
      <c r="H227" s="275">
        <f t="shared" si="25"/>
        <v>130.67812168005381</v>
      </c>
      <c r="I227" s="276"/>
      <c r="J227" s="277"/>
      <c r="K227" s="75">
        <f t="shared" si="30"/>
        <v>156.81374601606456</v>
      </c>
      <c r="L227" s="81" t="str">
        <f t="shared" si="26"/>
        <v>WIN</v>
      </c>
      <c r="M227" s="242">
        <f>IF(COUNTA($F$6:$F$10)=5,(F228-F24)/F24,"")</f>
        <v>0.32246259140214462</v>
      </c>
      <c r="N227" s="238">
        <f t="shared" si="27"/>
        <v>1</v>
      </c>
      <c r="O227" s="14" t="str">
        <f t="shared" si="28"/>
        <v>new</v>
      </c>
      <c r="P227" s="14"/>
      <c r="Q227" s="14"/>
      <c r="R227" s="14"/>
      <c r="S227" s="14"/>
      <c r="T227" s="14"/>
      <c r="U227" s="14"/>
      <c r="V227" s="14"/>
      <c r="W227" s="39" t="str">
        <f>IF(AND(L227="WIN",L228&lt;&gt;"WIN"),SUMIF(L$24:L227,"WIN",K$24:K227)-SUM(W$23:W226),"")</f>
        <v/>
      </c>
      <c r="X227" s="41" t="str">
        <f>IF(AND(L227="LOSS",L228&lt;&gt;"LOSS"),SUMIF(L$24:L227,"LOSS",K$24:K227)-SUM(X$23:X226),"")</f>
        <v/>
      </c>
      <c r="Y227" s="8"/>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row>
    <row r="228" spans="1:53" ht="15.75">
      <c r="A228" s="149"/>
      <c r="B228" s="305" t="s">
        <v>272</v>
      </c>
      <c r="C228" s="306"/>
      <c r="D228" s="271">
        <v>40</v>
      </c>
      <c r="E228" s="272"/>
      <c r="F228" s="278">
        <f t="shared" si="29"/>
        <v>13224.625914021446</v>
      </c>
      <c r="G228" s="279"/>
      <c r="H228" s="275">
        <f t="shared" si="25"/>
        <v>132.24625914021448</v>
      </c>
      <c r="I228" s="276"/>
      <c r="J228" s="277"/>
      <c r="K228" s="75">
        <f t="shared" si="30"/>
        <v>158.69551096825737</v>
      </c>
      <c r="L228" s="81" t="str">
        <f t="shared" si="26"/>
        <v>WIN</v>
      </c>
      <c r="M228" s="242">
        <f>IF(COUNTA($F$6:$F$10)=5,(F229-F24)/F24,"")</f>
        <v>0.33833214249897026</v>
      </c>
      <c r="N228" s="238">
        <f t="shared" si="27"/>
        <v>2</v>
      </c>
      <c r="O228" s="14" t="str">
        <f t="shared" si="28"/>
        <v>last</v>
      </c>
      <c r="P228" s="14"/>
      <c r="Q228" s="14"/>
      <c r="R228" s="14"/>
      <c r="S228" s="14"/>
      <c r="T228" s="14"/>
      <c r="U228" s="14"/>
      <c r="V228" s="14"/>
      <c r="W228" s="39">
        <f>IF(AND(L228="WIN",L229&lt;&gt;"WIN"),SUMIF(L$24:L228,"WIN",K$24:K228)-SUM(W$23:W227),"")</f>
        <v>315.50925698432184</v>
      </c>
      <c r="X228" s="41" t="str">
        <f>IF(AND(L228="LOSS",L229&lt;&gt;"LOSS"),SUMIF(L$24:L228,"LOSS",K$24:K228)-SUM(X$23:X227),"")</f>
        <v/>
      </c>
      <c r="Y228" s="8"/>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row>
    <row r="229" spans="1:53" ht="15.75">
      <c r="A229" s="149"/>
      <c r="B229" s="305" t="s">
        <v>273</v>
      </c>
      <c r="C229" s="306"/>
      <c r="D229" s="271">
        <v>96</v>
      </c>
      <c r="E229" s="272"/>
      <c r="F229" s="278">
        <f t="shared" si="29"/>
        <v>13383.321424989703</v>
      </c>
      <c r="G229" s="279"/>
      <c r="H229" s="275">
        <f t="shared" si="25"/>
        <v>133.83321424989703</v>
      </c>
      <c r="I229" s="276"/>
      <c r="J229" s="277"/>
      <c r="K229" s="75">
        <f t="shared" si="30"/>
        <v>-133.83321424989703</v>
      </c>
      <c r="L229" s="81" t="str">
        <f t="shared" si="26"/>
        <v>LOSS</v>
      </c>
      <c r="M229" s="242">
        <f>IF(COUNTA($F$6:$F$10)=5,(F230-F24)/F24,"")</f>
        <v>0.3249488210739806</v>
      </c>
      <c r="N229" s="238">
        <f t="shared" si="27"/>
        <v>1</v>
      </c>
      <c r="O229" s="14" t="str">
        <f t="shared" si="28"/>
        <v>last</v>
      </c>
      <c r="P229" s="14"/>
      <c r="Q229" s="14"/>
      <c r="R229" s="14"/>
      <c r="S229" s="14"/>
      <c r="T229" s="14"/>
      <c r="U229" s="14"/>
      <c r="V229" s="14"/>
      <c r="W229" s="39" t="str">
        <f>IF(AND(L229="WIN",L230&lt;&gt;"WIN"),SUMIF(L$24:L229,"WIN",K$24:K229)-SUM(W$23:W228),"")</f>
        <v/>
      </c>
      <c r="X229" s="41">
        <f>IF(AND(L229="LOSS",L230&lt;&gt;"LOSS"),SUMIF(L$24:L229,"LOSS",K$24:K229)-SUM(X$23:X228),"")</f>
        <v>-133.83321424989663</v>
      </c>
      <c r="Y229" s="8"/>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row>
    <row r="230" spans="1:53" ht="15.75">
      <c r="A230" s="149"/>
      <c r="B230" s="305" t="s">
        <v>274</v>
      </c>
      <c r="C230" s="306"/>
      <c r="D230" s="271">
        <v>36</v>
      </c>
      <c r="E230" s="272"/>
      <c r="F230" s="278">
        <f t="shared" si="29"/>
        <v>13249.488210739806</v>
      </c>
      <c r="G230" s="279"/>
      <c r="H230" s="275">
        <f t="shared" si="25"/>
        <v>132.49488210739807</v>
      </c>
      <c r="I230" s="276"/>
      <c r="J230" s="277"/>
      <c r="K230" s="75">
        <f t="shared" si="30"/>
        <v>158.99385852887767</v>
      </c>
      <c r="L230" s="81" t="str">
        <f t="shared" si="26"/>
        <v>WIN</v>
      </c>
      <c r="M230" s="242">
        <f>IF(COUNTA($F$6:$F$10)=5,(F231-F24)/F24,"")</f>
        <v>0.34084820692686846</v>
      </c>
      <c r="N230" s="238">
        <f t="shared" si="27"/>
        <v>1</v>
      </c>
      <c r="O230" s="14" t="str">
        <f t="shared" si="28"/>
        <v>new</v>
      </c>
      <c r="P230" s="14"/>
      <c r="Q230" s="14"/>
      <c r="R230" s="14"/>
      <c r="S230" s="14"/>
      <c r="T230" s="14"/>
      <c r="U230" s="14"/>
      <c r="V230" s="14"/>
      <c r="W230" s="39" t="str">
        <f>IF(AND(L230="WIN",L231&lt;&gt;"WIN"),SUMIF(L$24:L230,"WIN",K$24:K230)-SUM(W$23:W229),"")</f>
        <v/>
      </c>
      <c r="X230" s="41" t="str">
        <f>IF(AND(L230="LOSS",L231&lt;&gt;"LOSS"),SUMIF(L$24:L230,"LOSS",K$24:K230)-SUM(X$23:X229),"")</f>
        <v/>
      </c>
      <c r="Y230" s="8"/>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row>
    <row r="231" spans="1:53" ht="15.75">
      <c r="A231" s="149"/>
      <c r="B231" s="305" t="s">
        <v>275</v>
      </c>
      <c r="C231" s="306"/>
      <c r="D231" s="271">
        <v>14</v>
      </c>
      <c r="E231" s="272"/>
      <c r="F231" s="278">
        <f t="shared" si="29"/>
        <v>13408.482069268684</v>
      </c>
      <c r="G231" s="279"/>
      <c r="H231" s="275">
        <f t="shared" si="25"/>
        <v>134.08482069268683</v>
      </c>
      <c r="I231" s="276"/>
      <c r="J231" s="277"/>
      <c r="K231" s="75">
        <f t="shared" si="30"/>
        <v>160.90178483122421</v>
      </c>
      <c r="L231" s="81" t="str">
        <f t="shared" si="26"/>
        <v>WIN</v>
      </c>
      <c r="M231" s="242">
        <f>IF(COUNTA($F$6:$F$10)=5,(F232-F24)/F24,"")</f>
        <v>0.35693838540999095</v>
      </c>
      <c r="N231" s="238">
        <f t="shared" si="27"/>
        <v>2</v>
      </c>
      <c r="O231" s="14" t="str">
        <f t="shared" si="28"/>
        <v>last</v>
      </c>
      <c r="P231" s="14"/>
      <c r="Q231" s="14"/>
      <c r="R231" s="14"/>
      <c r="S231" s="14"/>
      <c r="T231" s="14"/>
      <c r="U231" s="14"/>
      <c r="V231" s="14"/>
      <c r="W231" s="39">
        <f>IF(AND(L231="WIN",L232&lt;&gt;"WIN"),SUMIF(L$24:L231,"WIN",K$24:K231)-SUM(W$23:W230),"")</f>
        <v>319.89564336010153</v>
      </c>
      <c r="X231" s="41" t="str">
        <f>IF(AND(L231="LOSS",L232&lt;&gt;"LOSS"),SUMIF(L$24:L231,"LOSS",K$24:K231)-SUM(X$23:X230),"")</f>
        <v/>
      </c>
      <c r="Y231" s="8"/>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row>
    <row r="232" spans="1:53" ht="15.75">
      <c r="A232" s="149"/>
      <c r="B232" s="305" t="s">
        <v>276</v>
      </c>
      <c r="C232" s="306"/>
      <c r="D232" s="271">
        <v>57</v>
      </c>
      <c r="E232" s="272"/>
      <c r="F232" s="278">
        <f t="shared" si="29"/>
        <v>13569.38385409991</v>
      </c>
      <c r="G232" s="279"/>
      <c r="H232" s="275">
        <f t="shared" si="25"/>
        <v>135.69383854099911</v>
      </c>
      <c r="I232" s="276"/>
      <c r="J232" s="277"/>
      <c r="K232" s="75">
        <f t="shared" si="30"/>
        <v>-135.69383854099911</v>
      </c>
      <c r="L232" s="81" t="str">
        <f t="shared" si="26"/>
        <v>LOSS</v>
      </c>
      <c r="M232" s="242">
        <f>IF(COUNTA($F$6:$F$10)=5,(F233-F24)/F24,"")</f>
        <v>0.34336900155589101</v>
      </c>
      <c r="N232" s="238">
        <f t="shared" si="27"/>
        <v>1</v>
      </c>
      <c r="O232" s="14" t="str">
        <f t="shared" si="28"/>
        <v>last</v>
      </c>
      <c r="P232" s="14"/>
      <c r="Q232" s="14"/>
      <c r="R232" s="14"/>
      <c r="S232" s="14"/>
      <c r="T232" s="14"/>
      <c r="U232" s="14"/>
      <c r="V232" s="14"/>
      <c r="W232" s="39" t="str">
        <f>IF(AND(L232="WIN",L233&lt;&gt;"WIN"),SUMIF(L$24:L232,"WIN",K$24:K232)-SUM(W$23:W231),"")</f>
        <v/>
      </c>
      <c r="X232" s="41">
        <f>IF(AND(L232="LOSS",L233&lt;&gt;"LOSS"),SUMIF(L$24:L232,"LOSS",K$24:K232)-SUM(X$23:X231),"")</f>
        <v>-135.69383854099942</v>
      </c>
      <c r="Y232" s="8"/>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row>
    <row r="233" spans="1:53" ht="15.75">
      <c r="A233" s="149"/>
      <c r="B233" s="305" t="s">
        <v>277</v>
      </c>
      <c r="C233" s="306"/>
      <c r="D233" s="271">
        <v>39</v>
      </c>
      <c r="E233" s="272"/>
      <c r="F233" s="278">
        <f t="shared" si="29"/>
        <v>13433.69001555891</v>
      </c>
      <c r="G233" s="279"/>
      <c r="H233" s="275">
        <f t="shared" si="25"/>
        <v>134.33690015558909</v>
      </c>
      <c r="I233" s="276"/>
      <c r="J233" s="277"/>
      <c r="K233" s="75">
        <f t="shared" si="30"/>
        <v>161.20428018670691</v>
      </c>
      <c r="L233" s="81" t="str">
        <f t="shared" si="26"/>
        <v>WIN</v>
      </c>
      <c r="M233" s="242">
        <f>IF(COUNTA($F$6:$F$10)=5,(F234-F24)/F24,"")</f>
        <v>0.35948942957456165</v>
      </c>
      <c r="N233" s="238">
        <f t="shared" si="27"/>
        <v>1</v>
      </c>
      <c r="O233" s="14" t="str">
        <f t="shared" si="28"/>
        <v>new</v>
      </c>
      <c r="P233" s="14"/>
      <c r="Q233" s="14"/>
      <c r="R233" s="14"/>
      <c r="S233" s="14"/>
      <c r="T233" s="14"/>
      <c r="U233" s="14"/>
      <c r="V233" s="14"/>
      <c r="W233" s="39" t="str">
        <f>IF(AND(L233="WIN",L234&lt;&gt;"WIN"),SUMIF(L$24:L233,"WIN",K$24:K233)-SUM(W$23:W232),"")</f>
        <v/>
      </c>
      <c r="X233" s="41" t="str">
        <f>IF(AND(L233="LOSS",L234&lt;&gt;"LOSS"),SUMIF(L$24:L233,"LOSS",K$24:K233)-SUM(X$23:X232),"")</f>
        <v/>
      </c>
      <c r="Y233" s="8"/>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row>
    <row r="234" spans="1:53" ht="15.75">
      <c r="A234" s="149"/>
      <c r="B234" s="305" t="s">
        <v>278</v>
      </c>
      <c r="C234" s="306"/>
      <c r="D234" s="271">
        <v>8</v>
      </c>
      <c r="E234" s="272"/>
      <c r="F234" s="278">
        <f t="shared" si="29"/>
        <v>13594.894295745617</v>
      </c>
      <c r="G234" s="279"/>
      <c r="H234" s="275">
        <f t="shared" si="25"/>
        <v>135.94894295745615</v>
      </c>
      <c r="I234" s="276"/>
      <c r="J234" s="277"/>
      <c r="K234" s="75">
        <f t="shared" si="30"/>
        <v>163.13873154894739</v>
      </c>
      <c r="L234" s="81" t="str">
        <f t="shared" si="26"/>
        <v>WIN</v>
      </c>
      <c r="M234" s="242">
        <f>IF(COUNTA($F$6:$F$10)=5,(F235-F24)/F24,"")</f>
        <v>0.3758033027294565</v>
      </c>
      <c r="N234" s="238">
        <f t="shared" si="27"/>
        <v>2</v>
      </c>
      <c r="O234" s="14" t="str">
        <f t="shared" si="28"/>
        <v>last</v>
      </c>
      <c r="P234" s="14"/>
      <c r="Q234" s="14"/>
      <c r="R234" s="14"/>
      <c r="S234" s="14"/>
      <c r="T234" s="14"/>
      <c r="U234" s="14"/>
      <c r="V234" s="14"/>
      <c r="W234" s="39">
        <f>IF(AND(L234="WIN",L235&lt;&gt;"WIN"),SUMIF(L$24:L234,"WIN",K$24:K234)-SUM(W$23:W233),"")</f>
        <v>324.34301173565473</v>
      </c>
      <c r="X234" s="41" t="str">
        <f>IF(AND(L234="LOSS",L235&lt;&gt;"LOSS"),SUMIF(L$24:L234,"LOSS",K$24:K234)-SUM(X$23:X233),"")</f>
        <v/>
      </c>
      <c r="Y234" s="8"/>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row>
    <row r="235" spans="1:53" ht="15.75">
      <c r="A235" s="149"/>
      <c r="B235" s="305" t="s">
        <v>279</v>
      </c>
      <c r="C235" s="306"/>
      <c r="D235" s="271">
        <v>89</v>
      </c>
      <c r="E235" s="272"/>
      <c r="F235" s="278">
        <f t="shared" si="29"/>
        <v>13758.033027294565</v>
      </c>
      <c r="G235" s="279"/>
      <c r="H235" s="275">
        <f t="shared" si="25"/>
        <v>137.58033027294564</v>
      </c>
      <c r="I235" s="276"/>
      <c r="J235" s="277"/>
      <c r="K235" s="75">
        <f t="shared" si="30"/>
        <v>-137.58033027294564</v>
      </c>
      <c r="L235" s="81" t="str">
        <f t="shared" si="26"/>
        <v>LOSS</v>
      </c>
      <c r="M235" s="242">
        <f>IF(COUNTA($F$6:$F$10)=5,(F236-F24)/F24,"")</f>
        <v>0.36204526970216194</v>
      </c>
      <c r="N235" s="238">
        <f t="shared" si="27"/>
        <v>1</v>
      </c>
      <c r="O235" s="14" t="str">
        <f t="shared" si="28"/>
        <v>new</v>
      </c>
      <c r="P235" s="14"/>
      <c r="Q235" s="14"/>
      <c r="R235" s="14"/>
      <c r="S235" s="14"/>
      <c r="T235" s="14"/>
      <c r="U235" s="14"/>
      <c r="V235" s="14"/>
      <c r="W235" s="39" t="str">
        <f>IF(AND(L235="WIN",L236&lt;&gt;"WIN"),SUMIF(L$24:L235,"WIN",K$24:K235)-SUM(W$23:W234),"")</f>
        <v/>
      </c>
      <c r="X235" s="41" t="str">
        <f>IF(AND(L235="LOSS",L236&lt;&gt;"LOSS"),SUMIF(L$24:L235,"LOSS",K$24:K235)-SUM(X$23:X234),"")</f>
        <v/>
      </c>
      <c r="Y235" s="8"/>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row>
    <row r="236" spans="1:53" ht="15.75">
      <c r="A236" s="149"/>
      <c r="B236" s="305" t="s">
        <v>280</v>
      </c>
      <c r="C236" s="306"/>
      <c r="D236" s="271">
        <v>99</v>
      </c>
      <c r="E236" s="272"/>
      <c r="F236" s="278">
        <f t="shared" si="29"/>
        <v>13620.452697021619</v>
      </c>
      <c r="G236" s="279"/>
      <c r="H236" s="275">
        <f t="shared" si="25"/>
        <v>136.20452697021619</v>
      </c>
      <c r="I236" s="276"/>
      <c r="J236" s="277"/>
      <c r="K236" s="75">
        <f t="shared" si="30"/>
        <v>-136.20452697021619</v>
      </c>
      <c r="L236" s="81" t="str">
        <f t="shared" si="26"/>
        <v>LOSS</v>
      </c>
      <c r="M236" s="242">
        <f>IF(COUNTA($F$6:$F$10)=5,(F237-F24)/F24,"")</f>
        <v>0.34842481700514033</v>
      </c>
      <c r="N236" s="238">
        <f t="shared" si="27"/>
        <v>2</v>
      </c>
      <c r="O236" s="14" t="str">
        <f t="shared" si="28"/>
        <v>middle</v>
      </c>
      <c r="P236" s="14"/>
      <c r="Q236" s="14"/>
      <c r="R236" s="14"/>
      <c r="S236" s="14"/>
      <c r="T236" s="14"/>
      <c r="U236" s="14"/>
      <c r="V236" s="14"/>
      <c r="W236" s="39" t="str">
        <f>IF(AND(L236="WIN",L237&lt;&gt;"WIN"),SUMIF(L$24:L236,"WIN",K$24:K236)-SUM(W$23:W235),"")</f>
        <v/>
      </c>
      <c r="X236" s="41" t="str">
        <f>IF(AND(L236="LOSS",L237&lt;&gt;"LOSS"),SUMIF(L$24:L236,"LOSS",K$24:K236)-SUM(X$23:X235),"")</f>
        <v/>
      </c>
      <c r="Y236" s="8"/>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row>
    <row r="237" spans="1:53" ht="15.75">
      <c r="A237" s="149"/>
      <c r="B237" s="305" t="s">
        <v>281</v>
      </c>
      <c r="C237" s="306"/>
      <c r="D237" s="271">
        <v>100</v>
      </c>
      <c r="E237" s="272"/>
      <c r="F237" s="278">
        <f t="shared" si="29"/>
        <v>13484.248170051404</v>
      </c>
      <c r="G237" s="279"/>
      <c r="H237" s="275">
        <f t="shared" si="25"/>
        <v>134.84248170051404</v>
      </c>
      <c r="I237" s="276"/>
      <c r="J237" s="277"/>
      <c r="K237" s="75">
        <f t="shared" si="30"/>
        <v>-134.84248170051404</v>
      </c>
      <c r="L237" s="81" t="str">
        <f t="shared" si="26"/>
        <v>LOSS</v>
      </c>
      <c r="M237" s="242">
        <f>IF(COUNTA($F$6:$F$10)=5,(F238-F24)/F24,"")</f>
        <v>0.33494056883508894</v>
      </c>
      <c r="N237" s="238">
        <f t="shared" si="27"/>
        <v>3</v>
      </c>
      <c r="O237" s="14" t="str">
        <f t="shared" si="28"/>
        <v>middle</v>
      </c>
      <c r="P237" s="14"/>
      <c r="Q237" s="14"/>
      <c r="R237" s="14"/>
      <c r="S237" s="14"/>
      <c r="T237" s="14"/>
      <c r="U237" s="14"/>
      <c r="V237" s="14"/>
      <c r="W237" s="39" t="str">
        <f>IF(AND(L237="WIN",L238&lt;&gt;"WIN"),SUMIF(L$24:L237,"WIN",K$24:K237)-SUM(W$23:W236),"")</f>
        <v/>
      </c>
      <c r="X237" s="41" t="str">
        <f>IF(AND(L237="LOSS",L238&lt;&gt;"LOSS"),SUMIF(L$24:L237,"LOSS",K$24:K237)-SUM(X$23:X236),"")</f>
        <v/>
      </c>
      <c r="Y237" s="8"/>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row>
    <row r="238" spans="1:53" ht="15.75">
      <c r="A238" s="149"/>
      <c r="B238" s="305" t="s">
        <v>282</v>
      </c>
      <c r="C238" s="306"/>
      <c r="D238" s="271">
        <v>57</v>
      </c>
      <c r="E238" s="272"/>
      <c r="F238" s="278">
        <f t="shared" si="29"/>
        <v>13349.405688350889</v>
      </c>
      <c r="G238" s="279"/>
      <c r="H238" s="275">
        <f t="shared" si="25"/>
        <v>133.4940568835089</v>
      </c>
      <c r="I238" s="276"/>
      <c r="J238" s="277"/>
      <c r="K238" s="75">
        <f t="shared" si="30"/>
        <v>-133.4940568835089</v>
      </c>
      <c r="L238" s="81" t="str">
        <f t="shared" si="26"/>
        <v>LOSS</v>
      </c>
      <c r="M238" s="242">
        <f>IF(COUNTA($F$6:$F$10)=5,(F239-F24)/F24,"")</f>
        <v>0.32159116314673813</v>
      </c>
      <c r="N238" s="238">
        <f t="shared" si="27"/>
        <v>4</v>
      </c>
      <c r="O238" s="14" t="str">
        <f t="shared" si="28"/>
        <v>last</v>
      </c>
      <c r="P238" s="14"/>
      <c r="Q238" s="14"/>
      <c r="R238" s="14"/>
      <c r="S238" s="14"/>
      <c r="T238" s="14"/>
      <c r="U238" s="14"/>
      <c r="V238" s="14"/>
      <c r="W238" s="39" t="str">
        <f>IF(AND(L238="WIN",L239&lt;&gt;"WIN"),SUMIF(L$24:L238,"WIN",K$24:K238)-SUM(W$23:W237),"")</f>
        <v/>
      </c>
      <c r="X238" s="41">
        <f>IF(AND(L238="LOSS",L239&lt;&gt;"LOSS"),SUMIF(L$24:L238,"LOSS",K$24:K238)-SUM(X$23:X237),"")</f>
        <v>-542.12139582718373</v>
      </c>
      <c r="Y238" s="8"/>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row>
    <row r="239" spans="1:53" ht="15.75">
      <c r="A239" s="149"/>
      <c r="B239" s="305" t="s">
        <v>283</v>
      </c>
      <c r="C239" s="306"/>
      <c r="D239" s="271">
        <v>23</v>
      </c>
      <c r="E239" s="272"/>
      <c r="F239" s="278">
        <f t="shared" si="29"/>
        <v>13215.911631467381</v>
      </c>
      <c r="G239" s="279"/>
      <c r="H239" s="275">
        <f t="shared" si="25"/>
        <v>132.15911631467381</v>
      </c>
      <c r="I239" s="276"/>
      <c r="J239" s="277"/>
      <c r="K239" s="75">
        <f t="shared" si="30"/>
        <v>158.59093957760857</v>
      </c>
      <c r="L239" s="81" t="str">
        <f t="shared" si="26"/>
        <v>WIN</v>
      </c>
      <c r="M239" s="242">
        <f>IF(COUNTA($F$6:$F$10)=5,(F240-F24)/F24,"")</f>
        <v>0.337450257104499</v>
      </c>
      <c r="N239" s="238">
        <f t="shared" si="27"/>
        <v>1</v>
      </c>
      <c r="O239" s="14" t="str">
        <f t="shared" si="28"/>
        <v>last</v>
      </c>
      <c r="P239" s="14"/>
      <c r="Q239" s="14"/>
      <c r="R239" s="14"/>
      <c r="S239" s="14"/>
      <c r="T239" s="14"/>
      <c r="U239" s="14"/>
      <c r="V239" s="14"/>
      <c r="W239" s="39">
        <f>IF(AND(L239="WIN",L240&lt;&gt;"WIN"),SUMIF(L$24:L239,"WIN",K$24:K239)-SUM(W$23:W238),"")</f>
        <v>158.59093957760706</v>
      </c>
      <c r="X239" s="41" t="str">
        <f>IF(AND(L239="LOSS",L240&lt;&gt;"LOSS"),SUMIF(L$24:L239,"LOSS",K$24:K239)-SUM(X$23:X238),"")</f>
        <v/>
      </c>
      <c r="Y239" s="8"/>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row>
    <row r="240" spans="1:53" ht="15.75">
      <c r="A240" s="149"/>
      <c r="B240" s="305" t="s">
        <v>284</v>
      </c>
      <c r="C240" s="306"/>
      <c r="D240" s="271">
        <v>81</v>
      </c>
      <c r="E240" s="272"/>
      <c r="F240" s="278">
        <f t="shared" si="29"/>
        <v>13374.50257104499</v>
      </c>
      <c r="G240" s="279"/>
      <c r="H240" s="275">
        <f t="shared" si="25"/>
        <v>133.74502571044991</v>
      </c>
      <c r="I240" s="276"/>
      <c r="J240" s="277"/>
      <c r="K240" s="75">
        <f t="shared" si="30"/>
        <v>-133.74502571044991</v>
      </c>
      <c r="L240" s="81" t="str">
        <f t="shared" si="26"/>
        <v>LOSS</v>
      </c>
      <c r="M240" s="242">
        <f>IF(COUNTA($F$6:$F$10)=5,(F241-F24)/F24,"")</f>
        <v>0.324075754533454</v>
      </c>
      <c r="N240" s="238">
        <f t="shared" si="27"/>
        <v>1</v>
      </c>
      <c r="O240" s="14" t="str">
        <f t="shared" si="28"/>
        <v>new</v>
      </c>
      <c r="P240" s="14"/>
      <c r="Q240" s="14"/>
      <c r="R240" s="14"/>
      <c r="S240" s="14"/>
      <c r="T240" s="14"/>
      <c r="U240" s="14"/>
      <c r="V240" s="14"/>
      <c r="W240" s="39" t="str">
        <f>IF(AND(L240="WIN",L241&lt;&gt;"WIN"),SUMIF(L$24:L240,"WIN",K$24:K240)-SUM(W$23:W239),"")</f>
        <v/>
      </c>
      <c r="X240" s="41" t="str">
        <f>IF(AND(L240="LOSS",L241&lt;&gt;"LOSS"),SUMIF(L$24:L240,"LOSS",K$24:K240)-SUM(X$23:X239),"")</f>
        <v/>
      </c>
      <c r="Y240" s="8"/>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row>
    <row r="241" spans="1:53" ht="15.75">
      <c r="A241" s="149"/>
      <c r="B241" s="305" t="s">
        <v>285</v>
      </c>
      <c r="C241" s="306"/>
      <c r="D241" s="271">
        <v>83</v>
      </c>
      <c r="E241" s="272"/>
      <c r="F241" s="278">
        <f t="shared" si="29"/>
        <v>13240.75754533454</v>
      </c>
      <c r="G241" s="279"/>
      <c r="H241" s="275">
        <f t="shared" si="25"/>
        <v>132.4075754533454</v>
      </c>
      <c r="I241" s="276"/>
      <c r="J241" s="277"/>
      <c r="K241" s="75">
        <f t="shared" si="30"/>
        <v>-132.4075754533454</v>
      </c>
      <c r="L241" s="81" t="str">
        <f t="shared" si="26"/>
        <v>LOSS</v>
      </c>
      <c r="M241" s="242">
        <f>IF(COUNTA($F$6:$F$10)=5,(F242-F24)/F24,"")</f>
        <v>0.31083499698811939</v>
      </c>
      <c r="N241" s="238">
        <f t="shared" si="27"/>
        <v>2</v>
      </c>
      <c r="O241" s="14" t="str">
        <f t="shared" si="28"/>
        <v>middle</v>
      </c>
      <c r="P241" s="14"/>
      <c r="Q241" s="14"/>
      <c r="R241" s="14"/>
      <c r="S241" s="14"/>
      <c r="T241" s="14"/>
      <c r="U241" s="14"/>
      <c r="V241" s="14"/>
      <c r="W241" s="39" t="str">
        <f>IF(AND(L241="WIN",L242&lt;&gt;"WIN"),SUMIF(L$24:L241,"WIN",K$24:K241)-SUM(W$23:W240),"")</f>
        <v/>
      </c>
      <c r="X241" s="41" t="str">
        <f>IF(AND(L241="LOSS",L242&lt;&gt;"LOSS"),SUMIF(L$24:L241,"LOSS",K$24:K241)-SUM(X$23:X240),"")</f>
        <v/>
      </c>
      <c r="Y241" s="8"/>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row>
    <row r="242" spans="1:53" ht="15.75">
      <c r="A242" s="149"/>
      <c r="B242" s="305" t="s">
        <v>286</v>
      </c>
      <c r="C242" s="306"/>
      <c r="D242" s="271">
        <v>91</v>
      </c>
      <c r="E242" s="272"/>
      <c r="F242" s="278">
        <f t="shared" si="29"/>
        <v>13108.349969881194</v>
      </c>
      <c r="G242" s="279"/>
      <c r="H242" s="275">
        <f t="shared" si="25"/>
        <v>131.08349969881195</v>
      </c>
      <c r="I242" s="276"/>
      <c r="J242" s="277"/>
      <c r="K242" s="75">
        <f t="shared" si="30"/>
        <v>-131.08349969881195</v>
      </c>
      <c r="L242" s="81" t="str">
        <f t="shared" si="26"/>
        <v>LOSS</v>
      </c>
      <c r="M242" s="242">
        <f>IF(COUNTA($F$6:$F$10)=5,(F243-F24)/F24,"")</f>
        <v>0.29772664701823814</v>
      </c>
      <c r="N242" s="238">
        <f t="shared" si="27"/>
        <v>3</v>
      </c>
      <c r="O242" s="14" t="str">
        <f t="shared" si="28"/>
        <v>middle</v>
      </c>
      <c r="P242" s="14"/>
      <c r="Q242" s="14"/>
      <c r="R242" s="14"/>
      <c r="S242" s="14"/>
      <c r="T242" s="14"/>
      <c r="U242" s="14"/>
      <c r="V242" s="14"/>
      <c r="W242" s="39" t="str">
        <f>IF(AND(L242="WIN",L243&lt;&gt;"WIN"),SUMIF(L$24:L242,"WIN",K$24:K242)-SUM(W$23:W241),"")</f>
        <v/>
      </c>
      <c r="X242" s="41" t="str">
        <f>IF(AND(L242="LOSS",L243&lt;&gt;"LOSS"),SUMIF(L$24:L242,"LOSS",K$24:K242)-SUM(X$23:X241),"")</f>
        <v/>
      </c>
      <c r="Y242" s="8"/>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row>
    <row r="243" spans="1:53" ht="15.75">
      <c r="A243" s="149"/>
      <c r="B243" s="305" t="s">
        <v>287</v>
      </c>
      <c r="C243" s="306"/>
      <c r="D243" s="271">
        <v>59</v>
      </c>
      <c r="E243" s="272"/>
      <c r="F243" s="278">
        <f t="shared" si="29"/>
        <v>12977.266470182381</v>
      </c>
      <c r="G243" s="279"/>
      <c r="H243" s="275">
        <f t="shared" si="25"/>
        <v>129.77266470182383</v>
      </c>
      <c r="I243" s="276"/>
      <c r="J243" s="277"/>
      <c r="K243" s="75">
        <f t="shared" si="30"/>
        <v>-129.77266470182383</v>
      </c>
      <c r="L243" s="81" t="str">
        <f t="shared" si="26"/>
        <v>LOSS</v>
      </c>
      <c r="M243" s="242">
        <f>IF(COUNTA($F$6:$F$10)=5,(F244-F24)/F24,"")</f>
        <v>0.28474938054805571</v>
      </c>
      <c r="N243" s="238">
        <f t="shared" si="27"/>
        <v>4</v>
      </c>
      <c r="O243" s="14" t="str">
        <f t="shared" si="28"/>
        <v>middle</v>
      </c>
      <c r="P243" s="14"/>
      <c r="Q243" s="14"/>
      <c r="R243" s="14"/>
      <c r="S243" s="14"/>
      <c r="T243" s="14"/>
      <c r="U243" s="14"/>
      <c r="V243" s="14"/>
      <c r="W243" s="39" t="str">
        <f>IF(AND(L243="WIN",L244&lt;&gt;"WIN"),SUMIF(L$24:L243,"WIN",K$24:K243)-SUM(W$23:W242),"")</f>
        <v/>
      </c>
      <c r="X243" s="41" t="str">
        <f>IF(AND(L243="LOSS",L244&lt;&gt;"LOSS"),SUMIF(L$24:L243,"LOSS",K$24:K243)-SUM(X$23:X242),"")</f>
        <v/>
      </c>
      <c r="Y243" s="8"/>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row>
    <row r="244" spans="1:53" ht="15.75">
      <c r="A244" s="149"/>
      <c r="B244" s="305" t="s">
        <v>288</v>
      </c>
      <c r="C244" s="306"/>
      <c r="D244" s="271">
        <v>64</v>
      </c>
      <c r="E244" s="272"/>
      <c r="F244" s="278">
        <f t="shared" si="29"/>
        <v>12847.493805480557</v>
      </c>
      <c r="G244" s="279"/>
      <c r="H244" s="275">
        <f t="shared" si="25"/>
        <v>128.47493805480556</v>
      </c>
      <c r="I244" s="276"/>
      <c r="J244" s="277"/>
      <c r="K244" s="75">
        <f t="shared" si="30"/>
        <v>-128.47493805480556</v>
      </c>
      <c r="L244" s="81" t="str">
        <f t="shared" si="26"/>
        <v>LOSS</v>
      </c>
      <c r="M244" s="242">
        <f>IF(COUNTA($F$6:$F$10)=5,(F245-F24)/F24,"")</f>
        <v>0.27190188674257515</v>
      </c>
      <c r="N244" s="238">
        <f t="shared" si="27"/>
        <v>5</v>
      </c>
      <c r="O244" s="14" t="str">
        <f t="shared" si="28"/>
        <v>last</v>
      </c>
      <c r="P244" s="14"/>
      <c r="Q244" s="14"/>
      <c r="R244" s="14"/>
      <c r="S244" s="14"/>
      <c r="T244" s="14"/>
      <c r="U244" s="14"/>
      <c r="V244" s="14"/>
      <c r="W244" s="39" t="str">
        <f>IF(AND(L244="WIN",L245&lt;&gt;"WIN"),SUMIF(L$24:L244,"WIN",K$24:K244)-SUM(W$23:W243),"")</f>
        <v/>
      </c>
      <c r="X244" s="41">
        <f>IF(AND(L244="LOSS",L245&lt;&gt;"LOSS"),SUMIF(L$24:L244,"LOSS",K$24:K244)-SUM(X$23:X243),"")</f>
        <v>-655.48370361923844</v>
      </c>
      <c r="Y244" s="8"/>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row>
    <row r="245" spans="1:53" ht="15.75">
      <c r="A245" s="149"/>
      <c r="B245" s="305" t="s">
        <v>289</v>
      </c>
      <c r="C245" s="306"/>
      <c r="D245" s="271">
        <v>8</v>
      </c>
      <c r="E245" s="272"/>
      <c r="F245" s="278">
        <f t="shared" si="29"/>
        <v>12719.018867425752</v>
      </c>
      <c r="G245" s="279"/>
      <c r="H245" s="275">
        <f t="shared" si="25"/>
        <v>127.19018867425751</v>
      </c>
      <c r="I245" s="276"/>
      <c r="J245" s="277"/>
      <c r="K245" s="75">
        <f t="shared" si="30"/>
        <v>152.628226409109</v>
      </c>
      <c r="L245" s="81" t="str">
        <f t="shared" si="26"/>
        <v>WIN</v>
      </c>
      <c r="M245" s="242">
        <f>IF(COUNTA($F$6:$F$10)=5,(F246-F24)/F24,"")</f>
        <v>0.28716470938348609</v>
      </c>
      <c r="N245" s="238">
        <f t="shared" si="27"/>
        <v>1</v>
      </c>
      <c r="O245" s="14" t="str">
        <f t="shared" si="28"/>
        <v>last</v>
      </c>
      <c r="P245" s="14"/>
      <c r="Q245" s="14"/>
      <c r="R245" s="14"/>
      <c r="S245" s="14"/>
      <c r="T245" s="14"/>
      <c r="U245" s="14"/>
      <c r="V245" s="14"/>
      <c r="W245" s="39">
        <f>IF(AND(L245="WIN",L246&lt;&gt;"WIN"),SUMIF(L$24:L245,"WIN",K$24:K245)-SUM(W$23:W244),"")</f>
        <v>152.62822640910963</v>
      </c>
      <c r="X245" s="41" t="str">
        <f>IF(AND(L245="LOSS",L246&lt;&gt;"LOSS"),SUMIF(L$24:L245,"LOSS",K$24:K245)-SUM(X$23:X244),"")</f>
        <v/>
      </c>
      <c r="Y245" s="8"/>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row>
    <row r="246" spans="1:53" ht="15.75">
      <c r="A246" s="149"/>
      <c r="B246" s="305" t="s">
        <v>290</v>
      </c>
      <c r="C246" s="306"/>
      <c r="D246" s="271">
        <v>98</v>
      </c>
      <c r="E246" s="272"/>
      <c r="F246" s="278">
        <f t="shared" si="29"/>
        <v>12871.647093834861</v>
      </c>
      <c r="G246" s="279"/>
      <c r="H246" s="275">
        <f t="shared" si="25"/>
        <v>128.71647093834861</v>
      </c>
      <c r="I246" s="276"/>
      <c r="J246" s="277"/>
      <c r="K246" s="75">
        <f t="shared" si="30"/>
        <v>-128.71647093834861</v>
      </c>
      <c r="L246" s="81" t="str">
        <f t="shared" si="26"/>
        <v>LOSS</v>
      </c>
      <c r="M246" s="242">
        <f>IF(COUNTA($F$6:$F$10)=5,(F247-F24)/F24,"")</f>
        <v>0.27429306228965122</v>
      </c>
      <c r="N246" s="238">
        <f t="shared" si="27"/>
        <v>1</v>
      </c>
      <c r="O246" s="14" t="str">
        <f t="shared" si="28"/>
        <v>last</v>
      </c>
      <c r="P246" s="14"/>
      <c r="Q246" s="14"/>
      <c r="R246" s="14"/>
      <c r="S246" s="14"/>
      <c r="T246" s="14"/>
      <c r="U246" s="14"/>
      <c r="V246" s="14"/>
      <c r="W246" s="39" t="str">
        <f>IF(AND(L246="WIN",L247&lt;&gt;"WIN"),SUMIF(L$24:L246,"WIN",K$24:K246)-SUM(W$23:W245),"")</f>
        <v/>
      </c>
      <c r="X246" s="41">
        <f>IF(AND(L246="LOSS",L247&lt;&gt;"LOSS"),SUMIF(L$24:L246,"LOSS",K$24:K246)-SUM(X$23:X245),"")</f>
        <v>-128.71647093834872</v>
      </c>
      <c r="Y246" s="8"/>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row>
    <row r="247" spans="1:53" ht="15.75">
      <c r="A247" s="149"/>
      <c r="B247" s="305" t="s">
        <v>291</v>
      </c>
      <c r="C247" s="306"/>
      <c r="D247" s="271">
        <v>21</v>
      </c>
      <c r="E247" s="272"/>
      <c r="F247" s="278">
        <f t="shared" si="29"/>
        <v>12742.930622896512</v>
      </c>
      <c r="G247" s="279"/>
      <c r="H247" s="275">
        <f t="shared" si="25"/>
        <v>127.42930622896513</v>
      </c>
      <c r="I247" s="276"/>
      <c r="J247" s="277"/>
      <c r="K247" s="75">
        <f t="shared" si="30"/>
        <v>152.91516747475816</v>
      </c>
      <c r="L247" s="81" t="str">
        <f t="shared" si="26"/>
        <v>WIN</v>
      </c>
      <c r="M247" s="242">
        <f>IF(COUNTA($F$6:$F$10)=5,(F248-F24)/F24,"")</f>
        <v>0.28958457903712714</v>
      </c>
      <c r="N247" s="238">
        <f t="shared" si="27"/>
        <v>1</v>
      </c>
      <c r="O247" s="14" t="str">
        <f t="shared" si="28"/>
        <v>last</v>
      </c>
      <c r="P247" s="14"/>
      <c r="Q247" s="14"/>
      <c r="R247" s="14"/>
      <c r="S247" s="14"/>
      <c r="T247" s="14"/>
      <c r="U247" s="14"/>
      <c r="V247" s="14"/>
      <c r="W247" s="39">
        <f>IF(AND(L247="WIN",L248&lt;&gt;"WIN"),SUMIF(L$24:L247,"WIN",K$24:K247)-SUM(W$23:W246),"")</f>
        <v>152.91516747475907</v>
      </c>
      <c r="X247" s="41" t="str">
        <f>IF(AND(L247="LOSS",L248&lt;&gt;"LOSS"),SUMIF(L$24:L247,"LOSS",K$24:K247)-SUM(X$23:X246),"")</f>
        <v/>
      </c>
      <c r="Y247" s="8"/>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row>
    <row r="248" spans="1:53" ht="15.75">
      <c r="A248" s="149"/>
      <c r="B248" s="305" t="s">
        <v>292</v>
      </c>
      <c r="C248" s="306"/>
      <c r="D248" s="271">
        <v>96</v>
      </c>
      <c r="E248" s="272"/>
      <c r="F248" s="278">
        <f t="shared" si="29"/>
        <v>12895.845790371272</v>
      </c>
      <c r="G248" s="279"/>
      <c r="H248" s="275">
        <f t="shared" si="25"/>
        <v>128.95845790371271</v>
      </c>
      <c r="I248" s="276"/>
      <c r="J248" s="277"/>
      <c r="K248" s="75">
        <f t="shared" si="30"/>
        <v>-128.95845790371271</v>
      </c>
      <c r="L248" s="81" t="str">
        <f t="shared" si="26"/>
        <v>LOSS</v>
      </c>
      <c r="M248" s="242">
        <f>IF(COUNTA($F$6:$F$10)=5,(F249-F24)/F24,"")</f>
        <v>0.27668873324675586</v>
      </c>
      <c r="N248" s="238">
        <f t="shared" si="27"/>
        <v>1</v>
      </c>
      <c r="O248" s="14" t="str">
        <f t="shared" si="28"/>
        <v>last</v>
      </c>
      <c r="P248" s="14"/>
      <c r="Q248" s="14"/>
      <c r="R248" s="14"/>
      <c r="S248" s="14"/>
      <c r="T248" s="14"/>
      <c r="U248" s="14"/>
      <c r="V248" s="14"/>
      <c r="W248" s="39" t="str">
        <f>IF(AND(L248="WIN",L249&lt;&gt;"WIN"),SUMIF(L$24:L248,"WIN",K$24:K248)-SUM(W$23:W247),"")</f>
        <v/>
      </c>
      <c r="X248" s="41">
        <f>IF(AND(L248="LOSS",L249&lt;&gt;"LOSS"),SUMIF(L$24:L248,"LOSS",K$24:K248)-SUM(X$23:X247),"")</f>
        <v>-128.95845790371277</v>
      </c>
      <c r="Y248" s="8"/>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row>
    <row r="249" spans="1:53" ht="15.75">
      <c r="A249" s="149"/>
      <c r="B249" s="305" t="s">
        <v>293</v>
      </c>
      <c r="C249" s="306"/>
      <c r="D249" s="271">
        <v>11</v>
      </c>
      <c r="E249" s="272"/>
      <c r="F249" s="278">
        <f t="shared" si="29"/>
        <v>12766.887332467559</v>
      </c>
      <c r="G249" s="279"/>
      <c r="H249" s="275">
        <f t="shared" si="25"/>
        <v>127.66887332467559</v>
      </c>
      <c r="I249" s="276"/>
      <c r="J249" s="277"/>
      <c r="K249" s="75">
        <f t="shared" si="30"/>
        <v>153.20264798961071</v>
      </c>
      <c r="L249" s="81" t="str">
        <f t="shared" si="26"/>
        <v>WIN</v>
      </c>
      <c r="M249" s="242">
        <f>IF(COUNTA($F$6:$F$10)=5,(F250-F24)/F24,"")</f>
        <v>0.29200899804571689</v>
      </c>
      <c r="N249" s="238">
        <f t="shared" si="27"/>
        <v>1</v>
      </c>
      <c r="O249" s="14" t="str">
        <f t="shared" si="28"/>
        <v>new</v>
      </c>
      <c r="P249" s="14"/>
      <c r="Q249" s="14"/>
      <c r="R249" s="14"/>
      <c r="S249" s="14"/>
      <c r="T249" s="14"/>
      <c r="U249" s="14"/>
      <c r="V249" s="14"/>
      <c r="W249" s="39" t="str">
        <f>IF(AND(L249="WIN",L250&lt;&gt;"WIN"),SUMIF(L$24:L249,"WIN",K$24:K249)-SUM(W$23:W248),"")</f>
        <v/>
      </c>
      <c r="X249" s="41" t="str">
        <f>IF(AND(L249="LOSS",L250&lt;&gt;"LOSS"),SUMIF(L$24:L249,"LOSS",K$24:K249)-SUM(X$23:X248),"")</f>
        <v/>
      </c>
      <c r="Y249" s="8"/>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row>
    <row r="250" spans="1:53" ht="15.75">
      <c r="A250" s="149"/>
      <c r="B250" s="305" t="s">
        <v>294</v>
      </c>
      <c r="C250" s="306"/>
      <c r="D250" s="271">
        <v>32</v>
      </c>
      <c r="E250" s="272"/>
      <c r="F250" s="278">
        <f t="shared" si="29"/>
        <v>12920.089980457169</v>
      </c>
      <c r="G250" s="279"/>
      <c r="H250" s="275">
        <f t="shared" si="25"/>
        <v>129.20089980457169</v>
      </c>
      <c r="I250" s="276"/>
      <c r="J250" s="277"/>
      <c r="K250" s="75">
        <f t="shared" si="30"/>
        <v>155.04107976548602</v>
      </c>
      <c r="L250" s="81" t="str">
        <f t="shared" si="26"/>
        <v>WIN</v>
      </c>
      <c r="M250" s="242">
        <f>IF(COUNTA($F$6:$F$10)=5,(F251-F24)/F24,"")</f>
        <v>0.3075131060222655</v>
      </c>
      <c r="N250" s="238">
        <f t="shared" si="27"/>
        <v>2</v>
      </c>
      <c r="O250" s="14" t="str">
        <f t="shared" si="28"/>
        <v>middle</v>
      </c>
      <c r="P250" s="14"/>
      <c r="Q250" s="14"/>
      <c r="R250" s="14"/>
      <c r="S250" s="14"/>
      <c r="T250" s="14"/>
      <c r="U250" s="14"/>
      <c r="V250" s="14"/>
      <c r="W250" s="39" t="str">
        <f>IF(AND(L250="WIN",L251&lt;&gt;"WIN"),SUMIF(L$24:L250,"WIN",K$24:K250)-SUM(W$23:W249),"")</f>
        <v/>
      </c>
      <c r="X250" s="41" t="str">
        <f>IF(AND(L250="LOSS",L251&lt;&gt;"LOSS"),SUMIF(L$24:L250,"LOSS",K$24:K250)-SUM(X$23:X249),"")</f>
        <v/>
      </c>
      <c r="Y250" s="8"/>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row>
    <row r="251" spans="1:53" ht="15.75">
      <c r="A251" s="149"/>
      <c r="B251" s="305" t="s">
        <v>295</v>
      </c>
      <c r="C251" s="306"/>
      <c r="D251" s="271">
        <v>16</v>
      </c>
      <c r="E251" s="272"/>
      <c r="F251" s="278">
        <f t="shared" si="29"/>
        <v>13075.131060222655</v>
      </c>
      <c r="G251" s="279"/>
      <c r="H251" s="275">
        <f t="shared" si="25"/>
        <v>130.75131060222654</v>
      </c>
      <c r="I251" s="276"/>
      <c r="J251" s="277"/>
      <c r="K251" s="75">
        <f t="shared" si="30"/>
        <v>156.90157272267183</v>
      </c>
      <c r="L251" s="81" t="str">
        <f t="shared" si="26"/>
        <v>WIN</v>
      </c>
      <c r="M251" s="242">
        <f>IF(COUNTA($F$6:$F$10)=5,(F252-F24)/F24,"")</f>
        <v>0.32320326329453275</v>
      </c>
      <c r="N251" s="238">
        <f t="shared" si="27"/>
        <v>3</v>
      </c>
      <c r="O251" s="14" t="str">
        <f t="shared" si="28"/>
        <v>middle</v>
      </c>
      <c r="P251" s="14"/>
      <c r="Q251" s="14"/>
      <c r="R251" s="14"/>
      <c r="S251" s="14"/>
      <c r="T251" s="14"/>
      <c r="U251" s="14"/>
      <c r="V251" s="14"/>
      <c r="W251" s="39" t="str">
        <f>IF(AND(L251="WIN",L252&lt;&gt;"WIN"),SUMIF(L$24:L251,"WIN",K$24:K251)-SUM(W$23:W250),"")</f>
        <v/>
      </c>
      <c r="X251" s="41" t="str">
        <f>IF(AND(L251="LOSS",L252&lt;&gt;"LOSS"),SUMIF(L$24:L251,"LOSS",K$24:K251)-SUM(X$23:X250),"")</f>
        <v/>
      </c>
      <c r="Y251" s="8"/>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row>
    <row r="252" spans="1:53" ht="15.75">
      <c r="A252" s="149"/>
      <c r="B252" s="305" t="s">
        <v>296</v>
      </c>
      <c r="C252" s="306"/>
      <c r="D252" s="271">
        <v>26</v>
      </c>
      <c r="E252" s="272"/>
      <c r="F252" s="278">
        <f t="shared" si="29"/>
        <v>13232.032632945327</v>
      </c>
      <c r="G252" s="279"/>
      <c r="H252" s="275">
        <f t="shared" si="25"/>
        <v>132.32032632945328</v>
      </c>
      <c r="I252" s="276"/>
      <c r="J252" s="277"/>
      <c r="K252" s="75">
        <f t="shared" si="30"/>
        <v>158.78439159534392</v>
      </c>
      <c r="L252" s="81" t="str">
        <f t="shared" si="26"/>
        <v>WIN</v>
      </c>
      <c r="M252" s="242">
        <f>IF(COUNTA($F$6:$F$10)=5,(F253-F24)/F24,"")</f>
        <v>0.3390817024540671</v>
      </c>
      <c r="N252" s="238">
        <f t="shared" si="27"/>
        <v>4</v>
      </c>
      <c r="O252" s="14" t="str">
        <f t="shared" si="28"/>
        <v>last</v>
      </c>
      <c r="P252" s="14"/>
      <c r="Q252" s="14"/>
      <c r="R252" s="14"/>
      <c r="S252" s="14"/>
      <c r="T252" s="14"/>
      <c r="U252" s="14"/>
      <c r="V252" s="14"/>
      <c r="W252" s="39">
        <f>IF(AND(L252="WIN",L253&lt;&gt;"WIN"),SUMIF(L$24:L252,"WIN",K$24:K252)-SUM(W$23:W251),"")</f>
        <v>623.92969207311762</v>
      </c>
      <c r="X252" s="41" t="str">
        <f>IF(AND(L252="LOSS",L253&lt;&gt;"LOSS"),SUMIF(L$24:L252,"LOSS",K$24:K252)-SUM(X$23:X251),"")</f>
        <v/>
      </c>
      <c r="Y252" s="8"/>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row>
    <row r="253" spans="1:53" ht="15.75">
      <c r="A253" s="149"/>
      <c r="B253" s="305" t="s">
        <v>297</v>
      </c>
      <c r="C253" s="306"/>
      <c r="D253" s="271">
        <v>79</v>
      </c>
      <c r="E253" s="272"/>
      <c r="F253" s="278">
        <f t="shared" si="29"/>
        <v>13390.817024540671</v>
      </c>
      <c r="G253" s="279"/>
      <c r="H253" s="275">
        <f t="shared" si="25"/>
        <v>133.90817024540672</v>
      </c>
      <c r="I253" s="276"/>
      <c r="J253" s="277"/>
      <c r="K253" s="75">
        <f t="shared" si="30"/>
        <v>-133.90817024540672</v>
      </c>
      <c r="L253" s="81" t="str">
        <f t="shared" si="26"/>
        <v>LOSS</v>
      </c>
      <c r="M253" s="242">
        <f>IF(COUNTA($F$6:$F$10)=5,(F254-F24)/F24,"")</f>
        <v>0.32569088542952651</v>
      </c>
      <c r="N253" s="238">
        <f t="shared" si="27"/>
        <v>1</v>
      </c>
      <c r="O253" s="14" t="str">
        <f t="shared" si="28"/>
        <v>new</v>
      </c>
      <c r="P253" s="14"/>
      <c r="Q253" s="14"/>
      <c r="R253" s="14"/>
      <c r="S253" s="14"/>
      <c r="T253" s="14"/>
      <c r="U253" s="14"/>
      <c r="V253" s="14"/>
      <c r="W253" s="39" t="str">
        <f>IF(AND(L253="WIN",L254&lt;&gt;"WIN"),SUMIF(L$24:L253,"WIN",K$24:K253)-SUM(W$23:W252),"")</f>
        <v/>
      </c>
      <c r="X253" s="41" t="str">
        <f>IF(AND(L253="LOSS",L254&lt;&gt;"LOSS"),SUMIF(L$24:L253,"LOSS",K$24:K253)-SUM(X$23:X252),"")</f>
        <v/>
      </c>
      <c r="Y253" s="8"/>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row>
    <row r="254" spans="1:53" ht="15.75">
      <c r="A254" s="149"/>
      <c r="B254" s="305" t="s">
        <v>298</v>
      </c>
      <c r="C254" s="306"/>
      <c r="D254" s="271">
        <v>55</v>
      </c>
      <c r="E254" s="272"/>
      <c r="F254" s="278">
        <f t="shared" si="29"/>
        <v>13256.908854295265</v>
      </c>
      <c r="G254" s="279"/>
      <c r="H254" s="275">
        <f t="shared" si="25"/>
        <v>132.56908854295264</v>
      </c>
      <c r="I254" s="276"/>
      <c r="J254" s="277"/>
      <c r="K254" s="75">
        <f t="shared" si="30"/>
        <v>-132.56908854295264</v>
      </c>
      <c r="L254" s="81" t="str">
        <f t="shared" si="26"/>
        <v>LOSS</v>
      </c>
      <c r="M254" s="242">
        <f>IF(COUNTA($F$6:$F$10)=5,(F255-F24)/F24,"")</f>
        <v>0.31243397657523131</v>
      </c>
      <c r="N254" s="238">
        <f t="shared" si="27"/>
        <v>2</v>
      </c>
      <c r="O254" s="14" t="str">
        <f t="shared" si="28"/>
        <v>middle</v>
      </c>
      <c r="P254" s="14"/>
      <c r="Q254" s="14"/>
      <c r="R254" s="14"/>
      <c r="S254" s="14"/>
      <c r="T254" s="14"/>
      <c r="U254" s="14"/>
      <c r="V254" s="14"/>
      <c r="W254" s="39" t="str">
        <f>IF(AND(L254="WIN",L255&lt;&gt;"WIN"),SUMIF(L$24:L254,"WIN",K$24:K254)-SUM(W$23:W253),"")</f>
        <v/>
      </c>
      <c r="X254" s="41" t="str">
        <f>IF(AND(L254="LOSS",L255&lt;&gt;"LOSS"),SUMIF(L$24:L254,"LOSS",K$24:K254)-SUM(X$23:X253),"")</f>
        <v/>
      </c>
      <c r="Y254" s="8"/>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row>
    <row r="255" spans="1:53" ht="15.75">
      <c r="A255" s="149"/>
      <c r="B255" s="305" t="s">
        <v>299</v>
      </c>
      <c r="C255" s="306"/>
      <c r="D255" s="271">
        <v>62</v>
      </c>
      <c r="E255" s="272"/>
      <c r="F255" s="278">
        <f t="shared" si="29"/>
        <v>13124.339765752313</v>
      </c>
      <c r="G255" s="279"/>
      <c r="H255" s="275">
        <f t="shared" si="25"/>
        <v>131.24339765752313</v>
      </c>
      <c r="I255" s="276"/>
      <c r="J255" s="277"/>
      <c r="K255" s="75">
        <f t="shared" si="30"/>
        <v>-131.24339765752313</v>
      </c>
      <c r="L255" s="81" t="str">
        <f t="shared" si="26"/>
        <v>LOSS</v>
      </c>
      <c r="M255" s="242">
        <f>IF(COUNTA($F$6:$F$10)=5,(F256-F24)/F24,"")</f>
        <v>0.29930963680947897</v>
      </c>
      <c r="N255" s="238">
        <f t="shared" si="27"/>
        <v>3</v>
      </c>
      <c r="O255" s="14" t="str">
        <f t="shared" si="28"/>
        <v>last</v>
      </c>
      <c r="P255" s="14"/>
      <c r="Q255" s="14"/>
      <c r="R255" s="14"/>
      <c r="S255" s="14"/>
      <c r="T255" s="14"/>
      <c r="U255" s="14"/>
      <c r="V255" s="14"/>
      <c r="W255" s="39" t="str">
        <f>IF(AND(L255="WIN",L256&lt;&gt;"WIN"),SUMIF(L$24:L255,"WIN",K$24:K255)-SUM(W$23:W254),"")</f>
        <v/>
      </c>
      <c r="X255" s="41">
        <f>IF(AND(L255="LOSS",L256&lt;&gt;"LOSS"),SUMIF(L$24:L255,"LOSS",K$24:K255)-SUM(X$23:X254),"")</f>
        <v>-397.7206564458811</v>
      </c>
      <c r="Y255" s="8"/>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row>
    <row r="256" spans="1:53" ht="15.75">
      <c r="A256" s="149"/>
      <c r="B256" s="305" t="s">
        <v>300</v>
      </c>
      <c r="C256" s="306"/>
      <c r="D256" s="271">
        <v>17</v>
      </c>
      <c r="E256" s="272"/>
      <c r="F256" s="278">
        <f t="shared" si="29"/>
        <v>12993.09636809479</v>
      </c>
      <c r="G256" s="279"/>
      <c r="H256" s="275">
        <f t="shared" si="25"/>
        <v>129.93096368094791</v>
      </c>
      <c r="I256" s="276"/>
      <c r="J256" s="277"/>
      <c r="K256" s="75">
        <f t="shared" si="30"/>
        <v>155.91715641713748</v>
      </c>
      <c r="L256" s="81" t="str">
        <f t="shared" si="26"/>
        <v>WIN</v>
      </c>
      <c r="M256" s="242">
        <f>IF(COUNTA($F$6:$F$10)=5,(F257-F24)/F24,"")</f>
        <v>0.31490135245119272</v>
      </c>
      <c r="N256" s="238">
        <f t="shared" si="27"/>
        <v>1</v>
      </c>
      <c r="O256" s="14" t="str">
        <f t="shared" si="28"/>
        <v>last</v>
      </c>
      <c r="P256" s="14"/>
      <c r="Q256" s="14"/>
      <c r="R256" s="14"/>
      <c r="S256" s="14"/>
      <c r="T256" s="14"/>
      <c r="U256" s="14"/>
      <c r="V256" s="14"/>
      <c r="W256" s="39">
        <f>IF(AND(L256="WIN",L257&lt;&gt;"WIN"),SUMIF(L$24:L256,"WIN",K$24:K256)-SUM(W$23:W255),"")</f>
        <v>155.91715641713745</v>
      </c>
      <c r="X256" s="41" t="str">
        <f>IF(AND(L256="LOSS",L257&lt;&gt;"LOSS"),SUMIF(L$24:L256,"LOSS",K$24:K256)-SUM(X$23:X255),"")</f>
        <v/>
      </c>
      <c r="Y256" s="8"/>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row>
    <row r="257" spans="1:53" ht="15.75">
      <c r="A257" s="149"/>
      <c r="B257" s="305" t="s">
        <v>301</v>
      </c>
      <c r="C257" s="306"/>
      <c r="D257" s="271">
        <v>93</v>
      </c>
      <c r="E257" s="272"/>
      <c r="F257" s="278">
        <f t="shared" si="29"/>
        <v>13149.013524511927</v>
      </c>
      <c r="G257" s="279"/>
      <c r="H257" s="275">
        <f t="shared" si="25"/>
        <v>131.49013524511926</v>
      </c>
      <c r="I257" s="276"/>
      <c r="J257" s="277"/>
      <c r="K257" s="75">
        <f t="shared" si="30"/>
        <v>-131.49013524511926</v>
      </c>
      <c r="L257" s="81" t="str">
        <f t="shared" si="26"/>
        <v>LOSS</v>
      </c>
      <c r="M257" s="242">
        <f>IF(COUNTA($F$6:$F$10)=5,(F258-F24)/F24,"")</f>
        <v>0.30175233892668074</v>
      </c>
      <c r="N257" s="238">
        <f t="shared" si="27"/>
        <v>1</v>
      </c>
      <c r="O257" s="14" t="str">
        <f t="shared" si="28"/>
        <v>last</v>
      </c>
      <c r="P257" s="14"/>
      <c r="Q257" s="14"/>
      <c r="R257" s="14"/>
      <c r="S257" s="14"/>
      <c r="T257" s="14"/>
      <c r="U257" s="14"/>
      <c r="V257" s="14"/>
      <c r="W257" s="39" t="str">
        <f>IF(AND(L257="WIN",L258&lt;&gt;"WIN"),SUMIF(L$24:L257,"WIN",K$24:K257)-SUM(W$23:W256),"")</f>
        <v/>
      </c>
      <c r="X257" s="41">
        <f>IF(AND(L257="LOSS",L258&lt;&gt;"LOSS"),SUMIF(L$24:L257,"LOSS",K$24:K257)-SUM(X$23:X256),"")</f>
        <v>-131.49013524511975</v>
      </c>
      <c r="Y257" s="8"/>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row>
    <row r="258" spans="1:53" ht="15.75">
      <c r="A258" s="149"/>
      <c r="B258" s="305" t="s">
        <v>302</v>
      </c>
      <c r="C258" s="306"/>
      <c r="D258" s="271">
        <v>42</v>
      </c>
      <c r="E258" s="272"/>
      <c r="F258" s="278">
        <f t="shared" si="29"/>
        <v>13017.523389266807</v>
      </c>
      <c r="G258" s="279"/>
      <c r="H258" s="275">
        <f t="shared" si="25"/>
        <v>130.17523389266807</v>
      </c>
      <c r="I258" s="276"/>
      <c r="J258" s="277"/>
      <c r="K258" s="75">
        <f t="shared" si="30"/>
        <v>156.21028067120167</v>
      </c>
      <c r="L258" s="81" t="str">
        <f t="shared" si="26"/>
        <v>WIN</v>
      </c>
      <c r="M258" s="242">
        <f>IF(COUNTA($F$6:$F$10)=5,(F259-F24)/F24,"")</f>
        <v>0.31737336699380087</v>
      </c>
      <c r="N258" s="238">
        <f t="shared" si="27"/>
        <v>1</v>
      </c>
      <c r="O258" s="14" t="str">
        <f t="shared" si="28"/>
        <v>last</v>
      </c>
      <c r="P258" s="14"/>
      <c r="Q258" s="14"/>
      <c r="R258" s="14"/>
      <c r="S258" s="14"/>
      <c r="T258" s="14"/>
      <c r="U258" s="14"/>
      <c r="V258" s="14"/>
      <c r="W258" s="39">
        <f>IF(AND(L258="WIN",L259&lt;&gt;"WIN"),SUMIF(L$24:L258,"WIN",K$24:K258)-SUM(W$23:W257),"")</f>
        <v>156.21028067120278</v>
      </c>
      <c r="X258" s="41" t="str">
        <f>IF(AND(L258="LOSS",L259&lt;&gt;"LOSS"),SUMIF(L$24:L258,"LOSS",K$24:K258)-SUM(X$23:X257),"")</f>
        <v/>
      </c>
      <c r="Y258" s="8"/>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row>
    <row r="259" spans="1:53" ht="15.75">
      <c r="A259" s="149"/>
      <c r="B259" s="305" t="s">
        <v>303</v>
      </c>
      <c r="C259" s="306"/>
      <c r="D259" s="271">
        <v>81</v>
      </c>
      <c r="E259" s="272"/>
      <c r="F259" s="278">
        <f t="shared" si="29"/>
        <v>13173.733669938008</v>
      </c>
      <c r="G259" s="279"/>
      <c r="H259" s="275">
        <f t="shared" si="25"/>
        <v>131.73733669938008</v>
      </c>
      <c r="I259" s="276"/>
      <c r="J259" s="277"/>
      <c r="K259" s="75">
        <f t="shared" si="30"/>
        <v>-131.73733669938008</v>
      </c>
      <c r="L259" s="81" t="str">
        <f t="shared" si="26"/>
        <v>LOSS</v>
      </c>
      <c r="M259" s="242">
        <f>IF(COUNTA($F$6:$F$10)=5,(F260-F24)/F24,"")</f>
        <v>0.30419963332386285</v>
      </c>
      <c r="N259" s="238">
        <f t="shared" si="27"/>
        <v>1</v>
      </c>
      <c r="O259" s="14" t="str">
        <f t="shared" si="28"/>
        <v>new</v>
      </c>
      <c r="P259" s="14"/>
      <c r="Q259" s="14"/>
      <c r="R259" s="14"/>
      <c r="S259" s="14"/>
      <c r="T259" s="14"/>
      <c r="U259" s="14"/>
      <c r="V259" s="14"/>
      <c r="W259" s="39" t="str">
        <f>IF(AND(L259="WIN",L260&lt;&gt;"WIN"),SUMIF(L$24:L259,"WIN",K$24:K259)-SUM(W$23:W258),"")</f>
        <v/>
      </c>
      <c r="X259" s="41" t="str">
        <f>IF(AND(L259="LOSS",L260&lt;&gt;"LOSS"),SUMIF(L$24:L259,"LOSS",K$24:K259)-SUM(X$23:X258),"")</f>
        <v/>
      </c>
      <c r="Y259" s="8"/>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row>
    <row r="260" spans="1:53" ht="15.75">
      <c r="A260" s="149"/>
      <c r="B260" s="305" t="s">
        <v>304</v>
      </c>
      <c r="C260" s="306"/>
      <c r="D260" s="271">
        <v>57</v>
      </c>
      <c r="E260" s="272"/>
      <c r="F260" s="278">
        <f t="shared" si="29"/>
        <v>13041.996333238629</v>
      </c>
      <c r="G260" s="279"/>
      <c r="H260" s="275">
        <f t="shared" si="25"/>
        <v>130.41996333238629</v>
      </c>
      <c r="I260" s="276"/>
      <c r="J260" s="277"/>
      <c r="K260" s="75">
        <f t="shared" si="30"/>
        <v>-130.41996333238629</v>
      </c>
      <c r="L260" s="81" t="str">
        <f t="shared" si="26"/>
        <v>LOSS</v>
      </c>
      <c r="M260" s="242">
        <f>IF(COUNTA($F$6:$F$10)=5,(F261-F24)/F24,"")</f>
        <v>0.29115763699062425</v>
      </c>
      <c r="N260" s="238">
        <f t="shared" si="27"/>
        <v>2</v>
      </c>
      <c r="O260" s="14" t="str">
        <f t="shared" si="28"/>
        <v>last</v>
      </c>
      <c r="P260" s="14"/>
      <c r="Q260" s="14"/>
      <c r="R260" s="14"/>
      <c r="S260" s="14"/>
      <c r="T260" s="14"/>
      <c r="U260" s="14"/>
      <c r="V260" s="14"/>
      <c r="W260" s="39" t="str">
        <f>IF(AND(L260="WIN",L261&lt;&gt;"WIN"),SUMIF(L$24:L260,"WIN",K$24:K260)-SUM(W$23:W259),"")</f>
        <v/>
      </c>
      <c r="X260" s="41">
        <f>IF(AND(L260="LOSS",L261&lt;&gt;"LOSS"),SUMIF(L$24:L260,"LOSS",K$24:K260)-SUM(X$23:X259),"")</f>
        <v>-262.15730003176577</v>
      </c>
      <c r="Y260" s="8"/>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row>
    <row r="261" spans="1:53" ht="15.75">
      <c r="A261" s="149"/>
      <c r="B261" s="305" t="s">
        <v>305</v>
      </c>
      <c r="C261" s="306"/>
      <c r="D261" s="271">
        <v>24</v>
      </c>
      <c r="E261" s="272"/>
      <c r="F261" s="278">
        <f t="shared" si="29"/>
        <v>12911.576369906243</v>
      </c>
      <c r="G261" s="279"/>
      <c r="H261" s="275">
        <f t="shared" si="25"/>
        <v>129.11576369906243</v>
      </c>
      <c r="I261" s="276"/>
      <c r="J261" s="277"/>
      <c r="K261" s="75">
        <f t="shared" si="30"/>
        <v>154.93891643887491</v>
      </c>
      <c r="L261" s="81" t="str">
        <f t="shared" si="26"/>
        <v>WIN</v>
      </c>
      <c r="M261" s="242">
        <f>IF(COUNTA($F$6:$F$10)=5,(F262-F24)/F24,"")</f>
        <v>0.30665152863451184</v>
      </c>
      <c r="N261" s="238">
        <f t="shared" si="27"/>
        <v>1</v>
      </c>
      <c r="O261" s="14" t="str">
        <f t="shared" si="28"/>
        <v>last</v>
      </c>
      <c r="P261" s="14"/>
      <c r="Q261" s="14"/>
      <c r="R261" s="14"/>
      <c r="S261" s="14"/>
      <c r="T261" s="14"/>
      <c r="U261" s="14"/>
      <c r="V261" s="14"/>
      <c r="W261" s="39">
        <f>IF(AND(L261="WIN",L262&lt;&gt;"WIN"),SUMIF(L$24:L261,"WIN",K$24:K261)-SUM(W$23:W260),"")</f>
        <v>154.938916438874</v>
      </c>
      <c r="X261" s="41" t="str">
        <f>IF(AND(L261="LOSS",L262&lt;&gt;"LOSS"),SUMIF(L$24:L261,"LOSS",K$24:K261)-SUM(X$23:X260),"")</f>
        <v/>
      </c>
      <c r="Y261" s="8"/>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row>
    <row r="262" spans="1:53" ht="15.75">
      <c r="A262" s="149"/>
      <c r="B262" s="305" t="s">
        <v>306</v>
      </c>
      <c r="C262" s="306"/>
      <c r="D262" s="271">
        <v>92</v>
      </c>
      <c r="E262" s="272"/>
      <c r="F262" s="278">
        <f t="shared" si="29"/>
        <v>13066.515286345119</v>
      </c>
      <c r="G262" s="279"/>
      <c r="H262" s="275">
        <f t="shared" si="25"/>
        <v>130.6651528634512</v>
      </c>
      <c r="I262" s="276"/>
      <c r="J262" s="277"/>
      <c r="K262" s="75">
        <f t="shared" si="30"/>
        <v>-130.6651528634512</v>
      </c>
      <c r="L262" s="81" t="str">
        <f t="shared" si="26"/>
        <v>LOSS</v>
      </c>
      <c r="M262" s="242">
        <f>IF(COUNTA($F$6:$F$10)=5,(F263-F24)/F24,"")</f>
        <v>0.29358501334816667</v>
      </c>
      <c r="N262" s="238">
        <f t="shared" si="27"/>
        <v>1</v>
      </c>
      <c r="O262" s="14" t="str">
        <f t="shared" si="28"/>
        <v>new</v>
      </c>
      <c r="P262" s="14"/>
      <c r="Q262" s="14"/>
      <c r="R262" s="14"/>
      <c r="S262" s="14"/>
      <c r="T262" s="14"/>
      <c r="U262" s="14"/>
      <c r="V262" s="14"/>
      <c r="W262" s="39" t="str">
        <f>IF(AND(L262="WIN",L263&lt;&gt;"WIN"),SUMIF(L$24:L262,"WIN",K$24:K262)-SUM(W$23:W261),"")</f>
        <v/>
      </c>
      <c r="X262" s="41" t="str">
        <f>IF(AND(L262="LOSS",L263&lt;&gt;"LOSS"),SUMIF(L$24:L262,"LOSS",K$24:K262)-SUM(X$23:X261),"")</f>
        <v/>
      </c>
      <c r="Y262" s="8"/>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row>
    <row r="263" spans="1:53" ht="15.75">
      <c r="A263" s="149"/>
      <c r="B263" s="305" t="s">
        <v>307</v>
      </c>
      <c r="C263" s="306"/>
      <c r="D263" s="271">
        <v>56</v>
      </c>
      <c r="E263" s="272"/>
      <c r="F263" s="278">
        <f t="shared" si="29"/>
        <v>12935.850133481666</v>
      </c>
      <c r="G263" s="279"/>
      <c r="H263" s="275">
        <f t="shared" si="25"/>
        <v>129.35850133481668</v>
      </c>
      <c r="I263" s="276"/>
      <c r="J263" s="277"/>
      <c r="K263" s="75">
        <f t="shared" si="30"/>
        <v>-129.35850133481668</v>
      </c>
      <c r="L263" s="81" t="str">
        <f t="shared" si="26"/>
        <v>LOSS</v>
      </c>
      <c r="M263" s="242">
        <f>IF(COUNTA($F$6:$F$10)=5,(F264-F24)/F24,"")</f>
        <v>0.28064916321468497</v>
      </c>
      <c r="N263" s="238">
        <f t="shared" si="27"/>
        <v>2</v>
      </c>
      <c r="O263" s="14" t="str">
        <f t="shared" si="28"/>
        <v>last</v>
      </c>
      <c r="P263" s="14"/>
      <c r="Q263" s="14"/>
      <c r="R263" s="14"/>
      <c r="S263" s="14"/>
      <c r="T263" s="14"/>
      <c r="U263" s="14"/>
      <c r="V263" s="14"/>
      <c r="W263" s="39" t="str">
        <f>IF(AND(L263="WIN",L264&lt;&gt;"WIN"),SUMIF(L$24:L263,"WIN",K$24:K263)-SUM(W$23:W262),"")</f>
        <v/>
      </c>
      <c r="X263" s="41">
        <f>IF(AND(L263="LOSS",L264&lt;&gt;"LOSS"),SUMIF(L$24:L263,"LOSS",K$24:K263)-SUM(X$23:X262),"")</f>
        <v>-260.02365419826856</v>
      </c>
      <c r="Y263" s="8"/>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row>
    <row r="264" spans="1:53" ht="15.75">
      <c r="A264" s="149"/>
      <c r="B264" s="305" t="s">
        <v>308</v>
      </c>
      <c r="C264" s="306"/>
      <c r="D264" s="271">
        <v>51</v>
      </c>
      <c r="E264" s="272"/>
      <c r="F264" s="278">
        <f t="shared" si="29"/>
        <v>12806.49163214685</v>
      </c>
      <c r="G264" s="279"/>
      <c r="H264" s="275">
        <f t="shared" si="25"/>
        <v>128.0649163214685</v>
      </c>
      <c r="I264" s="276"/>
      <c r="J264" s="277"/>
      <c r="K264" s="75">
        <f t="shared" si="30"/>
        <v>153.67789958576219</v>
      </c>
      <c r="L264" s="81" t="str">
        <f t="shared" si="26"/>
        <v>WIN</v>
      </c>
      <c r="M264" s="242">
        <f>IF(COUNTA($F$6:$F$10)=5,(F265-F24)/F24,"")</f>
        <v>0.29601695317326121</v>
      </c>
      <c r="N264" s="238">
        <f t="shared" si="27"/>
        <v>1</v>
      </c>
      <c r="O264" s="14" t="str">
        <f t="shared" si="28"/>
        <v>last</v>
      </c>
      <c r="P264" s="14"/>
      <c r="Q264" s="14"/>
      <c r="R264" s="14"/>
      <c r="S264" s="14"/>
      <c r="T264" s="14"/>
      <c r="U264" s="14"/>
      <c r="V264" s="14"/>
      <c r="W264" s="39">
        <f>IF(AND(L264="WIN",L265&lt;&gt;"WIN"),SUMIF(L$24:L264,"WIN",K$24:K264)-SUM(W$23:W263),"")</f>
        <v>153.67789958576395</v>
      </c>
      <c r="X264" s="41" t="str">
        <f>IF(AND(L264="LOSS",L265&lt;&gt;"LOSS"),SUMIF(L$24:L264,"LOSS",K$24:K264)-SUM(X$23:X263),"")</f>
        <v/>
      </c>
      <c r="Y264" s="8"/>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row>
    <row r="265" spans="1:53" ht="15.75">
      <c r="A265" s="149"/>
      <c r="B265" s="305" t="s">
        <v>309</v>
      </c>
      <c r="C265" s="306"/>
      <c r="D265" s="271">
        <v>86</v>
      </c>
      <c r="E265" s="272"/>
      <c r="F265" s="278">
        <f t="shared" si="29"/>
        <v>12960.169531732612</v>
      </c>
      <c r="G265" s="279"/>
      <c r="H265" s="275">
        <f t="shared" si="25"/>
        <v>129.60169531732612</v>
      </c>
      <c r="I265" s="276"/>
      <c r="J265" s="277"/>
      <c r="K265" s="75">
        <f t="shared" si="30"/>
        <v>-129.60169531732612</v>
      </c>
      <c r="L265" s="81" t="str">
        <f t="shared" si="26"/>
        <v>LOSS</v>
      </c>
      <c r="M265" s="242">
        <f>IF(COUNTA($F$6:$F$10)=5,(F266-F24)/F24,"")</f>
        <v>0.28305678364152864</v>
      </c>
      <c r="N265" s="238">
        <f t="shared" si="27"/>
        <v>1</v>
      </c>
      <c r="O265" s="14" t="str">
        <f t="shared" si="28"/>
        <v>last</v>
      </c>
      <c r="P265" s="14"/>
      <c r="Q265" s="14"/>
      <c r="R265" s="14"/>
      <c r="S265" s="14"/>
      <c r="T265" s="14"/>
      <c r="U265" s="14"/>
      <c r="V265" s="14"/>
      <c r="W265" s="39" t="str">
        <f>IF(AND(L265="WIN",L266&lt;&gt;"WIN"),SUMIF(L$24:L265,"WIN",K$24:K265)-SUM(W$23:W264),"")</f>
        <v/>
      </c>
      <c r="X265" s="41">
        <f>IF(AND(L265="LOSS",L266&lt;&gt;"LOSS"),SUMIF(L$24:L265,"LOSS",K$24:K265)-SUM(X$23:X264),"")</f>
        <v>-129.60169531732572</v>
      </c>
      <c r="Y265" s="8"/>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row>
    <row r="266" spans="1:53" ht="15.75">
      <c r="A266" s="149"/>
      <c r="B266" s="305" t="s">
        <v>310</v>
      </c>
      <c r="C266" s="306"/>
      <c r="D266" s="271">
        <v>11</v>
      </c>
      <c r="E266" s="272"/>
      <c r="F266" s="278">
        <f t="shared" si="29"/>
        <v>12830.567836415286</v>
      </c>
      <c r="G266" s="279"/>
      <c r="H266" s="275">
        <f t="shared" si="25"/>
        <v>128.30567836415287</v>
      </c>
      <c r="I266" s="276"/>
      <c r="J266" s="277"/>
      <c r="K266" s="75">
        <f t="shared" si="30"/>
        <v>153.96681403698344</v>
      </c>
      <c r="L266" s="81" t="str">
        <f t="shared" si="26"/>
        <v>WIN</v>
      </c>
      <c r="M266" s="242">
        <f>IF(COUNTA($F$6:$F$10)=5,(F267-F24)/F24,"")</f>
        <v>0.29845346504522696</v>
      </c>
      <c r="N266" s="238">
        <f t="shared" si="27"/>
        <v>1</v>
      </c>
      <c r="O266" s="14" t="str">
        <f t="shared" si="28"/>
        <v>new</v>
      </c>
      <c r="P266" s="14"/>
      <c r="Q266" s="14"/>
      <c r="R266" s="14"/>
      <c r="S266" s="14"/>
      <c r="T266" s="14"/>
      <c r="U266" s="14"/>
      <c r="V266" s="14"/>
      <c r="W266" s="39" t="str">
        <f>IF(AND(L266="WIN",L267&lt;&gt;"WIN"),SUMIF(L$24:L266,"WIN",K$24:K266)-SUM(W$23:W265),"")</f>
        <v/>
      </c>
      <c r="X266" s="41" t="str">
        <f>IF(AND(L266="LOSS",L267&lt;&gt;"LOSS"),SUMIF(L$24:L266,"LOSS",K$24:K266)-SUM(X$23:X265),"")</f>
        <v/>
      </c>
      <c r="Y266" s="8"/>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row>
    <row r="267" spans="1:53" ht="15.75">
      <c r="A267" s="149"/>
      <c r="B267" s="305" t="s">
        <v>311</v>
      </c>
      <c r="C267" s="306"/>
      <c r="D267" s="271">
        <v>15</v>
      </c>
      <c r="E267" s="272"/>
      <c r="F267" s="278">
        <f t="shared" si="29"/>
        <v>12984.534650452269</v>
      </c>
      <c r="G267" s="279"/>
      <c r="H267" s="275">
        <f t="shared" si="25"/>
        <v>129.84534650452269</v>
      </c>
      <c r="I267" s="276"/>
      <c r="J267" s="277"/>
      <c r="K267" s="75">
        <f t="shared" si="30"/>
        <v>155.81441580542722</v>
      </c>
      <c r="L267" s="81" t="str">
        <f t="shared" si="26"/>
        <v>WIN</v>
      </c>
      <c r="M267" s="242">
        <f>IF(COUNTA($F$6:$F$10)=5,(F268-F24)/F24,"")</f>
        <v>0.31403490662576972</v>
      </c>
      <c r="N267" s="238">
        <f t="shared" si="27"/>
        <v>2</v>
      </c>
      <c r="O267" s="14" t="str">
        <f t="shared" si="28"/>
        <v>last</v>
      </c>
      <c r="P267" s="14"/>
      <c r="Q267" s="14"/>
      <c r="R267" s="14"/>
      <c r="S267" s="14"/>
      <c r="T267" s="14"/>
      <c r="U267" s="14"/>
      <c r="V267" s="14"/>
      <c r="W267" s="39">
        <f>IF(AND(L267="WIN",L268&lt;&gt;"WIN"),SUMIF(L$24:L267,"WIN",K$24:K267)-SUM(W$23:W266),"")</f>
        <v>309.78122984241054</v>
      </c>
      <c r="X267" s="41" t="str">
        <f>IF(AND(L267="LOSS",L268&lt;&gt;"LOSS"),SUMIF(L$24:L267,"LOSS",K$24:K267)-SUM(X$23:X266),"")</f>
        <v/>
      </c>
      <c r="Y267" s="8"/>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row>
    <row r="268" spans="1:53" ht="15.75">
      <c r="A268" s="149"/>
      <c r="B268" s="305" t="s">
        <v>312</v>
      </c>
      <c r="C268" s="306"/>
      <c r="D268" s="271">
        <v>94</v>
      </c>
      <c r="E268" s="272"/>
      <c r="F268" s="278">
        <f t="shared" si="29"/>
        <v>13140.349066257697</v>
      </c>
      <c r="G268" s="279"/>
      <c r="H268" s="275">
        <f t="shared" si="25"/>
        <v>131.40349066257698</v>
      </c>
      <c r="I268" s="276"/>
      <c r="J268" s="277"/>
      <c r="K268" s="75">
        <f t="shared" si="30"/>
        <v>-131.40349066257698</v>
      </c>
      <c r="L268" s="81" t="str">
        <f t="shared" si="26"/>
        <v>LOSS</v>
      </c>
      <c r="M268" s="242">
        <f>IF(COUNTA($F$6:$F$10)=5,(F269-F24)/F24,"")</f>
        <v>0.30089455755951205</v>
      </c>
      <c r="N268" s="238">
        <f t="shared" si="27"/>
        <v>1</v>
      </c>
      <c r="O268" s="14" t="str">
        <f t="shared" si="28"/>
        <v>new</v>
      </c>
      <c r="P268" s="14"/>
      <c r="Q268" s="14"/>
      <c r="R268" s="14"/>
      <c r="S268" s="14"/>
      <c r="T268" s="14"/>
      <c r="U268" s="14"/>
      <c r="V268" s="14"/>
      <c r="W268" s="39" t="str">
        <f>IF(AND(L268="WIN",L269&lt;&gt;"WIN"),SUMIF(L$24:L268,"WIN",K$24:K268)-SUM(W$23:W267),"")</f>
        <v/>
      </c>
      <c r="X268" s="41" t="str">
        <f>IF(AND(L268="LOSS",L269&lt;&gt;"LOSS"),SUMIF(L$24:L268,"LOSS",K$24:K268)-SUM(X$23:X267),"")</f>
        <v/>
      </c>
      <c r="Y268" s="8"/>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row>
    <row r="269" spans="1:53" ht="15.75">
      <c r="A269" s="149"/>
      <c r="B269" s="305" t="s">
        <v>313</v>
      </c>
      <c r="C269" s="306"/>
      <c r="D269" s="271">
        <v>95</v>
      </c>
      <c r="E269" s="272"/>
      <c r="F269" s="278">
        <f t="shared" si="29"/>
        <v>13008.94557559512</v>
      </c>
      <c r="G269" s="279"/>
      <c r="H269" s="275">
        <f t="shared" si="25"/>
        <v>130.08945575595121</v>
      </c>
      <c r="I269" s="276"/>
      <c r="J269" s="277"/>
      <c r="K269" s="75">
        <f t="shared" si="30"/>
        <v>-130.08945575595121</v>
      </c>
      <c r="L269" s="81" t="str">
        <f t="shared" si="26"/>
        <v>LOSS</v>
      </c>
      <c r="M269" s="242">
        <f>IF(COUNTA($F$6:$F$10)=5,(F270-F24)/F24,"")</f>
        <v>0.28788561198391688</v>
      </c>
      <c r="N269" s="238">
        <f t="shared" si="27"/>
        <v>2</v>
      </c>
      <c r="O269" s="14" t="str">
        <f t="shared" si="28"/>
        <v>last</v>
      </c>
      <c r="P269" s="14"/>
      <c r="Q269" s="14"/>
      <c r="R269" s="14"/>
      <c r="S269" s="14"/>
      <c r="T269" s="14"/>
      <c r="U269" s="14"/>
      <c r="V269" s="14"/>
      <c r="W269" s="39" t="str">
        <f>IF(AND(L269="WIN",L270&lt;&gt;"WIN"),SUMIF(L$24:L269,"WIN",K$24:K269)-SUM(W$23:W268),"")</f>
        <v/>
      </c>
      <c r="X269" s="41">
        <f>IF(AND(L269="LOSS",L270&lt;&gt;"LOSS"),SUMIF(L$24:L269,"LOSS",K$24:K269)-SUM(X$23:X268),"")</f>
        <v>-261.49294641852794</v>
      </c>
      <c r="Y269" s="8"/>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row>
    <row r="270" spans="1:53" ht="15.75">
      <c r="A270" s="149"/>
      <c r="B270" s="305" t="s">
        <v>314</v>
      </c>
      <c r="C270" s="306"/>
      <c r="D270" s="271">
        <v>53</v>
      </c>
      <c r="E270" s="272"/>
      <c r="F270" s="278">
        <f t="shared" si="29"/>
        <v>12878.856119839169</v>
      </c>
      <c r="G270" s="279"/>
      <c r="H270" s="275">
        <f t="shared" si="25"/>
        <v>128.7885611983917</v>
      </c>
      <c r="I270" s="276"/>
      <c r="J270" s="277"/>
      <c r="K270" s="75">
        <f t="shared" si="30"/>
        <v>154.54627343807005</v>
      </c>
      <c r="L270" s="81" t="str">
        <f t="shared" si="26"/>
        <v>WIN</v>
      </c>
      <c r="M270" s="242">
        <f>IF(COUNTA($F$6:$F$10)=5,(F271-F24)/F24,"")</f>
        <v>0.30334023932772397</v>
      </c>
      <c r="N270" s="238">
        <f t="shared" si="27"/>
        <v>1</v>
      </c>
      <c r="O270" s="14" t="str">
        <f t="shared" si="28"/>
        <v>new</v>
      </c>
      <c r="P270" s="14"/>
      <c r="Q270" s="14"/>
      <c r="R270" s="14"/>
      <c r="S270" s="14"/>
      <c r="T270" s="14"/>
      <c r="U270" s="14"/>
      <c r="V270" s="14"/>
      <c r="W270" s="39" t="str">
        <f>IF(AND(L270="WIN",L271&lt;&gt;"WIN"),SUMIF(L$24:L270,"WIN",K$24:K270)-SUM(W$23:W269),"")</f>
        <v/>
      </c>
      <c r="X270" s="41" t="str">
        <f>IF(AND(L270="LOSS",L271&lt;&gt;"LOSS"),SUMIF(L$24:L270,"LOSS",K$24:K270)-SUM(X$23:X269),"")</f>
        <v/>
      </c>
      <c r="Y270" s="8"/>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row>
    <row r="271" spans="1:53" ht="15.75">
      <c r="A271" s="149"/>
      <c r="B271" s="305" t="s">
        <v>315</v>
      </c>
      <c r="C271" s="306"/>
      <c r="D271" s="271">
        <v>45</v>
      </c>
      <c r="E271" s="272"/>
      <c r="F271" s="278">
        <f t="shared" si="29"/>
        <v>13033.40239327724</v>
      </c>
      <c r="G271" s="279"/>
      <c r="H271" s="275">
        <f t="shared" si="25"/>
        <v>130.3340239327724</v>
      </c>
      <c r="I271" s="276"/>
      <c r="J271" s="277"/>
      <c r="K271" s="75">
        <f t="shared" si="30"/>
        <v>156.40082871932688</v>
      </c>
      <c r="L271" s="81" t="str">
        <f t="shared" si="26"/>
        <v>WIN</v>
      </c>
      <c r="M271" s="242">
        <f>IF(COUNTA($F$6:$F$10)=5,(F272-F24)/F24,"")</f>
        <v>0.31898032219965661</v>
      </c>
      <c r="N271" s="238">
        <f t="shared" si="27"/>
        <v>2</v>
      </c>
      <c r="O271" s="14" t="str">
        <f t="shared" si="28"/>
        <v>last</v>
      </c>
      <c r="P271" s="14"/>
      <c r="Q271" s="14"/>
      <c r="R271" s="14"/>
      <c r="S271" s="14"/>
      <c r="T271" s="14"/>
      <c r="U271" s="14"/>
      <c r="V271" s="14"/>
      <c r="W271" s="39">
        <f>IF(AND(L271="WIN",L272&lt;&gt;"WIN"),SUMIF(L$24:L271,"WIN",K$24:K271)-SUM(W$23:W270),"")</f>
        <v>310.94710215739906</v>
      </c>
      <c r="X271" s="41" t="str">
        <f>IF(AND(L271="LOSS",L272&lt;&gt;"LOSS"),SUMIF(L$24:L271,"LOSS",K$24:K271)-SUM(X$23:X270),"")</f>
        <v/>
      </c>
      <c r="Y271" s="8"/>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row>
    <row r="272" spans="1:53" ht="15.75">
      <c r="A272" s="149"/>
      <c r="B272" s="305" t="s">
        <v>316</v>
      </c>
      <c r="C272" s="306"/>
      <c r="D272" s="271">
        <v>55</v>
      </c>
      <c r="E272" s="272"/>
      <c r="F272" s="278">
        <f t="shared" si="29"/>
        <v>13189.803221996566</v>
      </c>
      <c r="G272" s="279"/>
      <c r="H272" s="275">
        <f t="shared" si="25"/>
        <v>131.89803221996567</v>
      </c>
      <c r="I272" s="276"/>
      <c r="J272" s="277"/>
      <c r="K272" s="75">
        <f t="shared" si="30"/>
        <v>-131.89803221996567</v>
      </c>
      <c r="L272" s="81" t="str">
        <f t="shared" si="26"/>
        <v>LOSS</v>
      </c>
      <c r="M272" s="242">
        <f>IF(COUNTA($F$6:$F$10)=5,(F273-F24)/F24,"")</f>
        <v>0.30579051897766002</v>
      </c>
      <c r="N272" s="238">
        <f t="shared" si="27"/>
        <v>1</v>
      </c>
      <c r="O272" s="14" t="str">
        <f t="shared" si="28"/>
        <v>new</v>
      </c>
      <c r="P272" s="14"/>
      <c r="Q272" s="14"/>
      <c r="R272" s="14"/>
      <c r="S272" s="14"/>
      <c r="T272" s="14"/>
      <c r="U272" s="14"/>
      <c r="V272" s="14"/>
      <c r="W272" s="39" t="str">
        <f>IF(AND(L272="WIN",L273&lt;&gt;"WIN"),SUMIF(L$24:L272,"WIN",K$24:K272)-SUM(W$23:W271),"")</f>
        <v/>
      </c>
      <c r="X272" s="41" t="str">
        <f>IF(AND(L272="LOSS",L273&lt;&gt;"LOSS"),SUMIF(L$24:L272,"LOSS",K$24:K272)-SUM(X$23:X271),"")</f>
        <v/>
      </c>
      <c r="Y272" s="8"/>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row>
    <row r="273" spans="1:53" ht="15.75">
      <c r="A273" s="149"/>
      <c r="B273" s="305" t="s">
        <v>317</v>
      </c>
      <c r="C273" s="306"/>
      <c r="D273" s="271">
        <v>90</v>
      </c>
      <c r="E273" s="272"/>
      <c r="F273" s="278">
        <f t="shared" si="29"/>
        <v>13057.9051897766</v>
      </c>
      <c r="G273" s="279"/>
      <c r="H273" s="275">
        <f t="shared" si="25"/>
        <v>130.57905189776599</v>
      </c>
      <c r="I273" s="276"/>
      <c r="J273" s="277"/>
      <c r="K273" s="75">
        <f t="shared" si="30"/>
        <v>-130.57905189776599</v>
      </c>
      <c r="L273" s="81" t="str">
        <f t="shared" si="26"/>
        <v>LOSS</v>
      </c>
      <c r="M273" s="242">
        <f>IF(COUNTA($F$6:$F$10)=5,(F274-F24)/F24,"")</f>
        <v>0.2927326137878834</v>
      </c>
      <c r="N273" s="238">
        <f t="shared" si="27"/>
        <v>2</v>
      </c>
      <c r="O273" s="14" t="str">
        <f t="shared" si="28"/>
        <v>last</v>
      </c>
      <c r="P273" s="14"/>
      <c r="Q273" s="14"/>
      <c r="R273" s="14"/>
      <c r="S273" s="14"/>
      <c r="T273" s="14"/>
      <c r="U273" s="14"/>
      <c r="V273" s="14"/>
      <c r="W273" s="39" t="str">
        <f>IF(AND(L273="WIN",L274&lt;&gt;"WIN"),SUMIF(L$24:L273,"WIN",K$24:K273)-SUM(W$23:W272),"")</f>
        <v/>
      </c>
      <c r="X273" s="41">
        <f>IF(AND(L273="LOSS",L274&lt;&gt;"LOSS"),SUMIF(L$24:L273,"LOSS",K$24:K273)-SUM(X$23:X272),"")</f>
        <v>-262.47708411773237</v>
      </c>
      <c r="Y273" s="8"/>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row>
    <row r="274" spans="1:53" ht="15.75">
      <c r="A274" s="149"/>
      <c r="B274" s="305" t="s">
        <v>318</v>
      </c>
      <c r="C274" s="306"/>
      <c r="D274" s="271">
        <v>40</v>
      </c>
      <c r="E274" s="272"/>
      <c r="F274" s="278">
        <f t="shared" si="29"/>
        <v>12927.326137878834</v>
      </c>
      <c r="G274" s="279"/>
      <c r="H274" s="275">
        <f t="shared" si="25"/>
        <v>129.27326137878833</v>
      </c>
      <c r="I274" s="276"/>
      <c r="J274" s="277"/>
      <c r="K274" s="75">
        <f t="shared" si="30"/>
        <v>155.12791365454601</v>
      </c>
      <c r="L274" s="81" t="str">
        <f t="shared" si="26"/>
        <v>WIN</v>
      </c>
      <c r="M274" s="242">
        <f>IF(COUNTA($F$6:$F$10)=5,(F275-F24)/F24,"")</f>
        <v>0.30824540515333793</v>
      </c>
      <c r="N274" s="238">
        <f t="shared" si="27"/>
        <v>1</v>
      </c>
      <c r="O274" s="14" t="str">
        <f t="shared" si="28"/>
        <v>new</v>
      </c>
      <c r="P274" s="14"/>
      <c r="Q274" s="14"/>
      <c r="R274" s="14"/>
      <c r="S274" s="14"/>
      <c r="T274" s="14"/>
      <c r="U274" s="14"/>
      <c r="V274" s="14"/>
      <c r="W274" s="39" t="str">
        <f>IF(AND(L274="WIN",L275&lt;&gt;"WIN"),SUMIF(L$24:L274,"WIN",K$24:K274)-SUM(W$23:W273),"")</f>
        <v/>
      </c>
      <c r="X274" s="41" t="str">
        <f>IF(AND(L274="LOSS",L275&lt;&gt;"LOSS"),SUMIF(L$24:L274,"LOSS",K$24:K274)-SUM(X$23:X273),"")</f>
        <v/>
      </c>
      <c r="Y274" s="8"/>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row>
    <row r="275" spans="1:53" ht="15.75">
      <c r="A275" s="149"/>
      <c r="B275" s="305" t="s">
        <v>319</v>
      </c>
      <c r="C275" s="306"/>
      <c r="D275" s="271">
        <v>13</v>
      </c>
      <c r="E275" s="272"/>
      <c r="F275" s="278">
        <f t="shared" si="29"/>
        <v>13082.454051533379</v>
      </c>
      <c r="G275" s="279"/>
      <c r="H275" s="275">
        <f t="shared" si="25"/>
        <v>130.82454051533381</v>
      </c>
      <c r="I275" s="276"/>
      <c r="J275" s="277"/>
      <c r="K275" s="75">
        <f t="shared" si="30"/>
        <v>156.98944861840056</v>
      </c>
      <c r="L275" s="81" t="str">
        <f t="shared" si="26"/>
        <v>WIN</v>
      </c>
      <c r="M275" s="242">
        <f>IF(COUNTA($F$6:$F$10)=5,(F276-F24)/F24,"")</f>
        <v>0.32394435001517796</v>
      </c>
      <c r="N275" s="238">
        <f t="shared" si="27"/>
        <v>2</v>
      </c>
      <c r="O275" s="14" t="str">
        <f t="shared" si="28"/>
        <v>last</v>
      </c>
      <c r="P275" s="14"/>
      <c r="Q275" s="14"/>
      <c r="R275" s="14"/>
      <c r="S275" s="14"/>
      <c r="T275" s="14"/>
      <c r="U275" s="14"/>
      <c r="V275" s="14"/>
      <c r="W275" s="39">
        <f>IF(AND(L275="WIN",L276&lt;&gt;"WIN"),SUMIF(L$24:L275,"WIN",K$24:K275)-SUM(W$23:W274),"")</f>
        <v>312.1173622729475</v>
      </c>
      <c r="X275" s="41" t="str">
        <f>IF(AND(L275="LOSS",L276&lt;&gt;"LOSS"),SUMIF(L$24:L275,"LOSS",K$24:K275)-SUM(X$23:X274),"")</f>
        <v/>
      </c>
      <c r="Y275" s="8"/>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row>
    <row r="276" spans="1:53" ht="15.75">
      <c r="A276" s="149"/>
      <c r="B276" s="305" t="s">
        <v>320</v>
      </c>
      <c r="C276" s="306"/>
      <c r="D276" s="271">
        <v>83</v>
      </c>
      <c r="E276" s="272"/>
      <c r="F276" s="278">
        <f t="shared" si="29"/>
        <v>13239.44350015178</v>
      </c>
      <c r="G276" s="279"/>
      <c r="H276" s="275">
        <f t="shared" si="25"/>
        <v>132.39443500151779</v>
      </c>
      <c r="I276" s="276"/>
      <c r="J276" s="277"/>
      <c r="K276" s="75">
        <f t="shared" si="30"/>
        <v>-132.39443500151779</v>
      </c>
      <c r="L276" s="81" t="str">
        <f t="shared" si="26"/>
        <v>LOSS</v>
      </c>
      <c r="M276" s="242">
        <f>IF(COUNTA($F$6:$F$10)=5,(F277-F24)/F24,"")</f>
        <v>0.31070490651502625</v>
      </c>
      <c r="N276" s="238">
        <f t="shared" si="27"/>
        <v>1</v>
      </c>
      <c r="O276" s="14" t="str">
        <f t="shared" si="28"/>
        <v>last</v>
      </c>
      <c r="P276" s="14"/>
      <c r="Q276" s="14"/>
      <c r="R276" s="14"/>
      <c r="S276" s="14"/>
      <c r="T276" s="14"/>
      <c r="U276" s="14"/>
      <c r="V276" s="14"/>
      <c r="W276" s="39" t="str">
        <f>IF(AND(L276="WIN",L277&lt;&gt;"WIN"),SUMIF(L$24:L276,"WIN",K$24:K276)-SUM(W$23:W275),"")</f>
        <v/>
      </c>
      <c r="X276" s="41">
        <f>IF(AND(L276="LOSS",L277&lt;&gt;"LOSS"),SUMIF(L$24:L276,"LOSS",K$24:K276)-SUM(X$23:X275),"")</f>
        <v>-132.39443500151901</v>
      </c>
      <c r="Y276" s="8"/>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row>
    <row r="277" spans="1:53" ht="15.75">
      <c r="A277" s="149"/>
      <c r="B277" s="305" t="s">
        <v>321</v>
      </c>
      <c r="C277" s="306"/>
      <c r="D277" s="271">
        <v>53</v>
      </c>
      <c r="E277" s="272"/>
      <c r="F277" s="278">
        <f t="shared" si="29"/>
        <v>13107.049065150262</v>
      </c>
      <c r="G277" s="279"/>
      <c r="H277" s="275">
        <f t="shared" si="25"/>
        <v>131.07049065150264</v>
      </c>
      <c r="I277" s="276"/>
      <c r="J277" s="277"/>
      <c r="K277" s="75">
        <f t="shared" si="30"/>
        <v>157.28458878180317</v>
      </c>
      <c r="L277" s="81" t="str">
        <f t="shared" si="26"/>
        <v>WIN</v>
      </c>
      <c r="M277" s="242">
        <f>IF(COUNTA($F$6:$F$10)=5,(F278-F24)/F24,"")</f>
        <v>0.32643336539320661</v>
      </c>
      <c r="N277" s="238">
        <f t="shared" si="27"/>
        <v>1</v>
      </c>
      <c r="O277" s="14" t="str">
        <f t="shared" si="28"/>
        <v>last</v>
      </c>
      <c r="P277" s="14"/>
      <c r="Q277" s="14"/>
      <c r="R277" s="14"/>
      <c r="S277" s="14"/>
      <c r="T277" s="14"/>
      <c r="U277" s="14"/>
      <c r="V277" s="14"/>
      <c r="W277" s="39">
        <f>IF(AND(L277="WIN",L278&lt;&gt;"WIN"),SUMIF(L$24:L277,"WIN",K$24:K277)-SUM(W$23:W276),"")</f>
        <v>157.2845887818039</v>
      </c>
      <c r="X277" s="41" t="str">
        <f>IF(AND(L277="LOSS",L278&lt;&gt;"LOSS"),SUMIF(L$24:L277,"LOSS",K$24:K277)-SUM(X$23:X276),"")</f>
        <v/>
      </c>
      <c r="Y277" s="8"/>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row>
    <row r="278" spans="1:53" ht="15.75">
      <c r="A278" s="149"/>
      <c r="B278" s="305" t="s">
        <v>322</v>
      </c>
      <c r="C278" s="306"/>
      <c r="D278" s="271">
        <v>82</v>
      </c>
      <c r="E278" s="272"/>
      <c r="F278" s="278">
        <f t="shared" si="29"/>
        <v>13264.333653932066</v>
      </c>
      <c r="G278" s="279"/>
      <c r="H278" s="275">
        <f t="shared" si="25"/>
        <v>132.64333653932067</v>
      </c>
      <c r="I278" s="276"/>
      <c r="J278" s="277"/>
      <c r="K278" s="75">
        <f t="shared" si="30"/>
        <v>-132.64333653932067</v>
      </c>
      <c r="L278" s="81" t="str">
        <f t="shared" si="26"/>
        <v>LOSS</v>
      </c>
      <c r="M278" s="242">
        <f>IF(COUNTA($F$6:$F$10)=5,(F279-F24)/F24,"")</f>
        <v>0.31316903173927457</v>
      </c>
      <c r="N278" s="238">
        <f t="shared" si="27"/>
        <v>1</v>
      </c>
      <c r="O278" s="14" t="str">
        <f t="shared" si="28"/>
        <v>last</v>
      </c>
      <c r="P278" s="14"/>
      <c r="Q278" s="14"/>
      <c r="R278" s="14"/>
      <c r="S278" s="14"/>
      <c r="T278" s="14"/>
      <c r="U278" s="14"/>
      <c r="V278" s="14"/>
      <c r="W278" s="39" t="str">
        <f>IF(AND(L278="WIN",L279&lt;&gt;"WIN"),SUMIF(L$24:L278,"WIN",K$24:K278)-SUM(W$23:W277),"")</f>
        <v/>
      </c>
      <c r="X278" s="41">
        <f>IF(AND(L278="LOSS",L279&lt;&gt;"LOSS"),SUMIF(L$24:L278,"LOSS",K$24:K278)-SUM(X$23:X277),"")</f>
        <v>-132.64333653932044</v>
      </c>
      <c r="Y278" s="8"/>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row>
    <row r="279" spans="1:53" ht="15.75">
      <c r="A279" s="149"/>
      <c r="B279" s="305" t="s">
        <v>323</v>
      </c>
      <c r="C279" s="306"/>
      <c r="D279" s="271">
        <v>26</v>
      </c>
      <c r="E279" s="272"/>
      <c r="F279" s="278">
        <f t="shared" si="29"/>
        <v>13131.690317392746</v>
      </c>
      <c r="G279" s="279"/>
      <c r="H279" s="275">
        <f t="shared" si="25"/>
        <v>131.31690317392747</v>
      </c>
      <c r="I279" s="276"/>
      <c r="J279" s="277"/>
      <c r="K279" s="75">
        <f t="shared" si="30"/>
        <v>157.58028380871295</v>
      </c>
      <c r="L279" s="81" t="str">
        <f t="shared" si="26"/>
        <v>WIN</v>
      </c>
      <c r="M279" s="242">
        <f>IF(COUNTA($F$6:$F$10)=5,(F280-F24)/F24,"")</f>
        <v>0.32892706012014589</v>
      </c>
      <c r="N279" s="238">
        <f t="shared" si="27"/>
        <v>1</v>
      </c>
      <c r="O279" s="14" t="str">
        <f t="shared" si="28"/>
        <v>new</v>
      </c>
      <c r="P279" s="14"/>
      <c r="Q279" s="14"/>
      <c r="R279" s="14"/>
      <c r="S279" s="14"/>
      <c r="T279" s="14"/>
      <c r="U279" s="14"/>
      <c r="V279" s="14"/>
      <c r="W279" s="39" t="str">
        <f>IF(AND(L279="WIN",L280&lt;&gt;"WIN"),SUMIF(L$24:L279,"WIN",K$24:K279)-SUM(W$23:W278),"")</f>
        <v/>
      </c>
      <c r="X279" s="41" t="str">
        <f>IF(AND(L279="LOSS",L280&lt;&gt;"LOSS"),SUMIF(L$24:L279,"LOSS",K$24:K279)-SUM(X$23:X278),"")</f>
        <v/>
      </c>
      <c r="Y279" s="8"/>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row>
    <row r="280" spans="1:53" ht="15.75">
      <c r="A280" s="149"/>
      <c r="B280" s="305" t="s">
        <v>324</v>
      </c>
      <c r="C280" s="306"/>
      <c r="D280" s="271">
        <v>18</v>
      </c>
      <c r="E280" s="272"/>
      <c r="F280" s="278">
        <f t="shared" si="29"/>
        <v>13289.270601201459</v>
      </c>
      <c r="G280" s="279"/>
      <c r="H280" s="275">
        <f t="shared" si="25"/>
        <v>132.8927060120146</v>
      </c>
      <c r="I280" s="276"/>
      <c r="J280" s="277"/>
      <c r="K280" s="75">
        <f t="shared" si="30"/>
        <v>159.4712472144175</v>
      </c>
      <c r="L280" s="81" t="str">
        <f t="shared" si="26"/>
        <v>WIN</v>
      </c>
      <c r="M280" s="242">
        <f>IF(COUNTA($F$6:$F$10)=5,(F281-F24)/F24,"")</f>
        <v>0.34487418484158772</v>
      </c>
      <c r="N280" s="238">
        <f t="shared" si="27"/>
        <v>2</v>
      </c>
      <c r="O280" s="14" t="str">
        <f t="shared" si="28"/>
        <v>last</v>
      </c>
      <c r="P280" s="14"/>
      <c r="Q280" s="14"/>
      <c r="R280" s="14"/>
      <c r="S280" s="14"/>
      <c r="T280" s="14"/>
      <c r="U280" s="14"/>
      <c r="V280" s="14"/>
      <c r="W280" s="39">
        <f>IF(AND(L280="WIN",L281&lt;&gt;"WIN"),SUMIF(L$24:L280,"WIN",K$24:K280)-SUM(W$23:W279),"")</f>
        <v>317.05153102313125</v>
      </c>
      <c r="X280" s="41" t="str">
        <f>IF(AND(L280="LOSS",L281&lt;&gt;"LOSS"),SUMIF(L$24:L280,"LOSS",K$24:K280)-SUM(X$23:X279),"")</f>
        <v/>
      </c>
      <c r="Y280" s="8"/>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row>
    <row r="281" spans="1:53" ht="15.75">
      <c r="A281" s="149"/>
      <c r="B281" s="305" t="s">
        <v>325</v>
      </c>
      <c r="C281" s="306"/>
      <c r="D281" s="271">
        <v>64</v>
      </c>
      <c r="E281" s="272"/>
      <c r="F281" s="278">
        <f t="shared" si="29"/>
        <v>13448.741848415877</v>
      </c>
      <c r="G281" s="279"/>
      <c r="H281" s="275">
        <f t="shared" ref="H281:H344" si="31">IF(COUNTBLANK($F$6:$F$10),"",F281*$F$7)</f>
        <v>134.48741848415878</v>
      </c>
      <c r="I281" s="276"/>
      <c r="J281" s="277"/>
      <c r="K281" s="75">
        <f t="shared" si="30"/>
        <v>-134.48741848415878</v>
      </c>
      <c r="L281" s="81" t="str">
        <f t="shared" ref="L281:L344" si="32">IF(D281="","",IF(D281&lt;$F$8,"WIN","LOSS"))</f>
        <v>LOSS</v>
      </c>
      <c r="M281" s="242">
        <f>IF(COUNTA($F$6:$F$10)=5,(F282-F24)/F24,"")</f>
        <v>0.33142544299317178</v>
      </c>
      <c r="N281" s="238">
        <f t="shared" ref="N281:N344" si="33">IF(L281=L280,N280+1,1)</f>
        <v>1</v>
      </c>
      <c r="O281" s="14" t="str">
        <f t="shared" ref="O281:O344" si="34">IF(N281=1,IF(N282=1,"last","new"),IF(N282=1,"last","middle"))</f>
        <v>new</v>
      </c>
      <c r="P281" s="14"/>
      <c r="Q281" s="14"/>
      <c r="R281" s="14"/>
      <c r="S281" s="14"/>
      <c r="T281" s="14"/>
      <c r="U281" s="14"/>
      <c r="V281" s="14"/>
      <c r="W281" s="39" t="str">
        <f>IF(AND(L281="WIN",L282&lt;&gt;"WIN"),SUMIF(L$24:L281,"WIN",K$24:K281)-SUM(W$23:W280),"")</f>
        <v/>
      </c>
      <c r="X281" s="41" t="str">
        <f>IF(AND(L281="LOSS",L282&lt;&gt;"LOSS"),SUMIF(L$24:L281,"LOSS",K$24:K281)-SUM(X$23:X280),"")</f>
        <v/>
      </c>
      <c r="Y281" s="8"/>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row>
    <row r="282" spans="1:53" ht="15.75">
      <c r="A282" s="149"/>
      <c r="B282" s="305" t="s">
        <v>326</v>
      </c>
      <c r="C282" s="306"/>
      <c r="D282" s="271">
        <v>63</v>
      </c>
      <c r="E282" s="272"/>
      <c r="F282" s="278">
        <f t="shared" ref="F282:F345" si="35">IF(COUNTBLANK($F$6:$F$10),"",IF(D281&lt;$F$8,(1+$F$7*$F$9)*F281-$F$10,(1-$F$7)*F281-$F$10))</f>
        <v>13314.254429931718</v>
      </c>
      <c r="G282" s="279"/>
      <c r="H282" s="275">
        <f t="shared" si="31"/>
        <v>133.14254429931719</v>
      </c>
      <c r="I282" s="276"/>
      <c r="J282" s="277"/>
      <c r="K282" s="75">
        <f t="shared" ref="K282:K345" si="36">IF(COUNTBLANK($F$6:$F$10),"", IF(L282="win", H282*$F$9-$F$10, IF(L282="loss", -H282-$F$10)))</f>
        <v>-133.14254429931719</v>
      </c>
      <c r="L282" s="81" t="str">
        <f t="shared" si="32"/>
        <v>LOSS</v>
      </c>
      <c r="M282" s="242">
        <f>IF(COUNTA($F$6:$F$10)=5,(F283-F24)/F24,"")</f>
        <v>0.31811118856324011</v>
      </c>
      <c r="N282" s="238">
        <f t="shared" si="33"/>
        <v>2</v>
      </c>
      <c r="O282" s="14" t="str">
        <f t="shared" si="34"/>
        <v>middle</v>
      </c>
      <c r="P282" s="14"/>
      <c r="Q282" s="14"/>
      <c r="R282" s="14"/>
      <c r="S282" s="14"/>
      <c r="T282" s="14"/>
      <c r="U282" s="14"/>
      <c r="V282" s="14"/>
      <c r="W282" s="39" t="str">
        <f>IF(AND(L282="WIN",L283&lt;&gt;"WIN"),SUMIF(L$24:L282,"WIN",K$24:K282)-SUM(W$23:W281),"")</f>
        <v/>
      </c>
      <c r="X282" s="41" t="str">
        <f>IF(AND(L282="LOSS",L283&lt;&gt;"LOSS"),SUMIF(L$24:L282,"LOSS",K$24:K282)-SUM(X$23:X281),"")</f>
        <v/>
      </c>
      <c r="Y282" s="8"/>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row>
    <row r="283" spans="1:53" ht="15.75">
      <c r="A283" s="149"/>
      <c r="B283" s="305" t="s">
        <v>327</v>
      </c>
      <c r="C283" s="306"/>
      <c r="D283" s="271">
        <v>81</v>
      </c>
      <c r="E283" s="272"/>
      <c r="F283" s="278">
        <f t="shared" si="35"/>
        <v>13181.111885632401</v>
      </c>
      <c r="G283" s="279"/>
      <c r="H283" s="275">
        <f t="shared" si="31"/>
        <v>131.81111885632401</v>
      </c>
      <c r="I283" s="276"/>
      <c r="J283" s="277"/>
      <c r="K283" s="75">
        <f t="shared" si="36"/>
        <v>-131.81111885632401</v>
      </c>
      <c r="L283" s="81" t="str">
        <f t="shared" si="32"/>
        <v>LOSS</v>
      </c>
      <c r="M283" s="242">
        <f>IF(COUNTA($F$6:$F$10)=5,(F284-F24)/F24,"")</f>
        <v>0.30493007667760774</v>
      </c>
      <c r="N283" s="238">
        <f t="shared" si="33"/>
        <v>3</v>
      </c>
      <c r="O283" s="14" t="str">
        <f t="shared" si="34"/>
        <v>middle</v>
      </c>
      <c r="P283" s="14"/>
      <c r="Q283" s="14"/>
      <c r="R283" s="14"/>
      <c r="S283" s="14"/>
      <c r="T283" s="14"/>
      <c r="U283" s="14"/>
      <c r="V283" s="14"/>
      <c r="W283" s="39" t="str">
        <f>IF(AND(L283="WIN",L284&lt;&gt;"WIN"),SUMIF(L$24:L283,"WIN",K$24:K283)-SUM(W$23:W282),"")</f>
        <v/>
      </c>
      <c r="X283" s="41" t="str">
        <f>IF(AND(L283="LOSS",L284&lt;&gt;"LOSS"),SUMIF(L$24:L283,"LOSS",K$24:K283)-SUM(X$23:X282),"")</f>
        <v/>
      </c>
      <c r="Y283" s="8"/>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row>
    <row r="284" spans="1:53" ht="15.75">
      <c r="A284" s="149"/>
      <c r="B284" s="305" t="s">
        <v>328</v>
      </c>
      <c r="C284" s="306"/>
      <c r="D284" s="271">
        <v>58</v>
      </c>
      <c r="E284" s="272"/>
      <c r="F284" s="278">
        <f t="shared" si="35"/>
        <v>13049.300766776078</v>
      </c>
      <c r="G284" s="279"/>
      <c r="H284" s="275">
        <f t="shared" si="31"/>
        <v>130.49300766776076</v>
      </c>
      <c r="I284" s="276"/>
      <c r="J284" s="277"/>
      <c r="K284" s="75">
        <f t="shared" si="36"/>
        <v>-130.49300766776076</v>
      </c>
      <c r="L284" s="81" t="str">
        <f t="shared" si="32"/>
        <v>LOSS</v>
      </c>
      <c r="M284" s="242">
        <f>IF(COUNTA($F$6:$F$10)=5,(F285-F24)/F24,"")</f>
        <v>0.29188077591083167</v>
      </c>
      <c r="N284" s="238">
        <f t="shared" si="33"/>
        <v>4</v>
      </c>
      <c r="O284" s="14" t="str">
        <f t="shared" si="34"/>
        <v>last</v>
      </c>
      <c r="P284" s="14"/>
      <c r="Q284" s="14"/>
      <c r="R284" s="14"/>
      <c r="S284" s="14"/>
      <c r="T284" s="14"/>
      <c r="U284" s="14"/>
      <c r="V284" s="14"/>
      <c r="W284" s="39" t="str">
        <f>IF(AND(L284="WIN",L285&lt;&gt;"WIN"),SUMIF(L$24:L284,"WIN",K$24:K284)-SUM(W$23:W283),"")</f>
        <v/>
      </c>
      <c r="X284" s="41">
        <f>IF(AND(L284="LOSS",L285&lt;&gt;"LOSS"),SUMIF(L$24:L284,"LOSS",K$24:K284)-SUM(X$23:X283),"")</f>
        <v>-529.93408930755686</v>
      </c>
      <c r="Y284" s="8"/>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row>
    <row r="285" spans="1:53" ht="15.75">
      <c r="A285" s="149"/>
      <c r="B285" s="305" t="s">
        <v>329</v>
      </c>
      <c r="C285" s="306"/>
      <c r="D285" s="271">
        <v>40</v>
      </c>
      <c r="E285" s="272"/>
      <c r="F285" s="278">
        <f t="shared" si="35"/>
        <v>12918.807759108317</v>
      </c>
      <c r="G285" s="279"/>
      <c r="H285" s="275">
        <f t="shared" si="31"/>
        <v>129.18807759108316</v>
      </c>
      <c r="I285" s="276"/>
      <c r="J285" s="277"/>
      <c r="K285" s="75">
        <f t="shared" si="36"/>
        <v>155.02569310929979</v>
      </c>
      <c r="L285" s="81" t="str">
        <f t="shared" si="32"/>
        <v>WIN</v>
      </c>
      <c r="M285" s="242">
        <f>IF(COUNTA($F$6:$F$10)=5,(F286-F24)/F24,"")</f>
        <v>0.30738334522176158</v>
      </c>
      <c r="N285" s="238">
        <f t="shared" si="33"/>
        <v>1</v>
      </c>
      <c r="O285" s="14" t="str">
        <f t="shared" si="34"/>
        <v>last</v>
      </c>
      <c r="P285" s="14"/>
      <c r="Q285" s="14"/>
      <c r="R285" s="14"/>
      <c r="S285" s="14"/>
      <c r="T285" s="14"/>
      <c r="U285" s="14"/>
      <c r="V285" s="14"/>
      <c r="W285" s="39">
        <f>IF(AND(L285="WIN",L286&lt;&gt;"WIN"),SUMIF(L$24:L285,"WIN",K$24:K285)-SUM(W$23:W284),"")</f>
        <v>155.02569310929903</v>
      </c>
      <c r="X285" s="41" t="str">
        <f>IF(AND(L285="LOSS",L286&lt;&gt;"LOSS"),SUMIF(L$24:L285,"LOSS",K$24:K285)-SUM(X$23:X284),"")</f>
        <v/>
      </c>
      <c r="Y285" s="8"/>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row>
    <row r="286" spans="1:53" ht="15.75">
      <c r="A286" s="149"/>
      <c r="B286" s="305" t="s">
        <v>330</v>
      </c>
      <c r="C286" s="306"/>
      <c r="D286" s="271">
        <v>67</v>
      </c>
      <c r="E286" s="272"/>
      <c r="F286" s="278">
        <f t="shared" si="35"/>
        <v>13073.833452217616</v>
      </c>
      <c r="G286" s="279"/>
      <c r="H286" s="275">
        <f t="shared" si="31"/>
        <v>130.73833452217616</v>
      </c>
      <c r="I286" s="276"/>
      <c r="J286" s="277"/>
      <c r="K286" s="75">
        <f t="shared" si="36"/>
        <v>-130.73833452217616</v>
      </c>
      <c r="L286" s="81" t="str">
        <f t="shared" si="32"/>
        <v>LOSS</v>
      </c>
      <c r="M286" s="242">
        <f>IF(COUNTA($F$6:$F$10)=5,(F287-F24)/F24,"")</f>
        <v>0.29430951176954384</v>
      </c>
      <c r="N286" s="238">
        <f t="shared" si="33"/>
        <v>1</v>
      </c>
      <c r="O286" s="14" t="str">
        <f t="shared" si="34"/>
        <v>last</v>
      </c>
      <c r="P286" s="14"/>
      <c r="Q286" s="14"/>
      <c r="R286" s="14"/>
      <c r="S286" s="14"/>
      <c r="T286" s="14"/>
      <c r="U286" s="14"/>
      <c r="V286" s="14"/>
      <c r="W286" s="39" t="str">
        <f>IF(AND(L286="WIN",L287&lt;&gt;"WIN"),SUMIF(L$24:L286,"WIN",K$24:K286)-SUM(W$23:W285),"")</f>
        <v/>
      </c>
      <c r="X286" s="41">
        <f>IF(AND(L286="LOSS",L287&lt;&gt;"LOSS"),SUMIF(L$24:L286,"LOSS",K$24:K286)-SUM(X$23:X285),"")</f>
        <v>-130.73833452217514</v>
      </c>
      <c r="Y286" s="8"/>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row>
    <row r="287" spans="1:53" ht="15.75">
      <c r="A287" s="149"/>
      <c r="B287" s="305" t="s">
        <v>331</v>
      </c>
      <c r="C287" s="306"/>
      <c r="D287" s="271">
        <v>30</v>
      </c>
      <c r="E287" s="272"/>
      <c r="F287" s="278">
        <f t="shared" si="35"/>
        <v>12943.095117695439</v>
      </c>
      <c r="G287" s="279"/>
      <c r="H287" s="275">
        <f t="shared" si="31"/>
        <v>129.43095117695438</v>
      </c>
      <c r="I287" s="276"/>
      <c r="J287" s="277"/>
      <c r="K287" s="75">
        <f t="shared" si="36"/>
        <v>155.31714141234525</v>
      </c>
      <c r="L287" s="81" t="str">
        <f t="shared" si="32"/>
        <v>WIN</v>
      </c>
      <c r="M287" s="242">
        <f>IF(COUNTA($F$6:$F$10)=5,(F288-F24)/F24,"")</f>
        <v>0.30984122591077851</v>
      </c>
      <c r="N287" s="238">
        <f t="shared" si="33"/>
        <v>1</v>
      </c>
      <c r="O287" s="14" t="str">
        <f t="shared" si="34"/>
        <v>new</v>
      </c>
      <c r="P287" s="14"/>
      <c r="Q287" s="14"/>
      <c r="R287" s="14"/>
      <c r="S287" s="14"/>
      <c r="T287" s="14"/>
      <c r="U287" s="14"/>
      <c r="V287" s="14"/>
      <c r="W287" s="39" t="str">
        <f>IF(AND(L287="WIN",L288&lt;&gt;"WIN"),SUMIF(L$24:L287,"WIN",K$24:K287)-SUM(W$23:W286),"")</f>
        <v/>
      </c>
      <c r="X287" s="41" t="str">
        <f>IF(AND(L287="LOSS",L288&lt;&gt;"LOSS"),SUMIF(L$24:L287,"LOSS",K$24:K287)-SUM(X$23:X286),"")</f>
        <v/>
      </c>
      <c r="Y287" s="8"/>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row>
    <row r="288" spans="1:53" ht="15.75">
      <c r="A288" s="149"/>
      <c r="B288" s="305" t="s">
        <v>332</v>
      </c>
      <c r="C288" s="306"/>
      <c r="D288" s="271">
        <v>36</v>
      </c>
      <c r="E288" s="272"/>
      <c r="F288" s="278">
        <f t="shared" si="35"/>
        <v>13098.412259107785</v>
      </c>
      <c r="G288" s="279"/>
      <c r="H288" s="275">
        <f t="shared" si="31"/>
        <v>130.98412259107786</v>
      </c>
      <c r="I288" s="276"/>
      <c r="J288" s="277"/>
      <c r="K288" s="75">
        <f t="shared" si="36"/>
        <v>157.18094710929344</v>
      </c>
      <c r="L288" s="81" t="str">
        <f t="shared" si="32"/>
        <v>WIN</v>
      </c>
      <c r="M288" s="242">
        <f>IF(COUNTA($F$6:$F$10)=5,(F289-F24)/F24,"")</f>
        <v>0.32555932062170778</v>
      </c>
      <c r="N288" s="238">
        <f t="shared" si="33"/>
        <v>2</v>
      </c>
      <c r="O288" s="14" t="str">
        <f t="shared" si="34"/>
        <v>middle</v>
      </c>
      <c r="P288" s="14"/>
      <c r="Q288" s="14"/>
      <c r="R288" s="14"/>
      <c r="S288" s="14"/>
      <c r="T288" s="14"/>
      <c r="U288" s="14"/>
      <c r="V288" s="14"/>
      <c r="W288" s="39" t="str">
        <f>IF(AND(L288="WIN",L289&lt;&gt;"WIN"),SUMIF(L$24:L288,"WIN",K$24:K288)-SUM(W$23:W287),"")</f>
        <v/>
      </c>
      <c r="X288" s="41" t="str">
        <f>IF(AND(L288="LOSS",L289&lt;&gt;"LOSS"),SUMIF(L$24:L288,"LOSS",K$24:K288)-SUM(X$23:X287),"")</f>
        <v/>
      </c>
      <c r="Y288" s="8"/>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row>
    <row r="289" spans="1:53" ht="15.75">
      <c r="A289" s="149"/>
      <c r="B289" s="305" t="s">
        <v>333</v>
      </c>
      <c r="C289" s="306"/>
      <c r="D289" s="271">
        <v>14</v>
      </c>
      <c r="E289" s="272"/>
      <c r="F289" s="278">
        <f t="shared" si="35"/>
        <v>13255.593206217078</v>
      </c>
      <c r="G289" s="279"/>
      <c r="H289" s="275">
        <f t="shared" si="31"/>
        <v>132.55593206217077</v>
      </c>
      <c r="I289" s="276"/>
      <c r="J289" s="277"/>
      <c r="K289" s="75">
        <f t="shared" si="36"/>
        <v>159.06711847460491</v>
      </c>
      <c r="L289" s="81" t="str">
        <f t="shared" si="32"/>
        <v>WIN</v>
      </c>
      <c r="M289" s="242">
        <f>IF(COUNTA($F$6:$F$10)=5,(F290-F24)/F24,"")</f>
        <v>0.34146603246916818</v>
      </c>
      <c r="N289" s="238">
        <f t="shared" si="33"/>
        <v>3</v>
      </c>
      <c r="O289" s="14" t="str">
        <f t="shared" si="34"/>
        <v>middle</v>
      </c>
      <c r="P289" s="14"/>
      <c r="Q289" s="14"/>
      <c r="R289" s="14"/>
      <c r="S289" s="14"/>
      <c r="T289" s="14"/>
      <c r="U289" s="14"/>
      <c r="V289" s="14"/>
      <c r="W289" s="39" t="str">
        <f>IF(AND(L289="WIN",L290&lt;&gt;"WIN"),SUMIF(L$24:L289,"WIN",K$24:K289)-SUM(W$23:W288),"")</f>
        <v/>
      </c>
      <c r="X289" s="41" t="str">
        <f>IF(AND(L289="LOSS",L290&lt;&gt;"LOSS"),SUMIF(L$24:L289,"LOSS",K$24:K289)-SUM(X$23:X288),"")</f>
        <v/>
      </c>
      <c r="Y289" s="8"/>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row>
    <row r="290" spans="1:53" ht="15.75">
      <c r="A290" s="149"/>
      <c r="B290" s="305" t="s">
        <v>334</v>
      </c>
      <c r="C290" s="306"/>
      <c r="D290" s="271">
        <v>49</v>
      </c>
      <c r="E290" s="272"/>
      <c r="F290" s="278">
        <f t="shared" si="35"/>
        <v>13414.660324691682</v>
      </c>
      <c r="G290" s="279"/>
      <c r="H290" s="275">
        <f t="shared" si="31"/>
        <v>134.14660324691681</v>
      </c>
      <c r="I290" s="276"/>
      <c r="J290" s="277"/>
      <c r="K290" s="75">
        <f t="shared" si="36"/>
        <v>160.97592389630017</v>
      </c>
      <c r="L290" s="81" t="str">
        <f t="shared" si="32"/>
        <v>WIN</v>
      </c>
      <c r="M290" s="242">
        <f>IF(COUNTA($F$6:$F$10)=5,(F291-F24)/F24,"")</f>
        <v>0.35756362485879817</v>
      </c>
      <c r="N290" s="238">
        <f t="shared" si="33"/>
        <v>4</v>
      </c>
      <c r="O290" s="14" t="str">
        <f t="shared" si="34"/>
        <v>last</v>
      </c>
      <c r="P290" s="14"/>
      <c r="Q290" s="14"/>
      <c r="R290" s="14"/>
      <c r="S290" s="14"/>
      <c r="T290" s="14"/>
      <c r="U290" s="14"/>
      <c r="V290" s="14"/>
      <c r="W290" s="39">
        <f>IF(AND(L290="WIN",L291&lt;&gt;"WIN"),SUMIF(L$24:L290,"WIN",K$24:K290)-SUM(W$23:W289),"")</f>
        <v>632.54113089254679</v>
      </c>
      <c r="X290" s="41" t="str">
        <f>IF(AND(L290="LOSS",L291&lt;&gt;"LOSS"),SUMIF(L$24:L290,"LOSS",K$24:K290)-SUM(X$23:X289),"")</f>
        <v/>
      </c>
      <c r="Y290" s="8"/>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row>
    <row r="291" spans="1:53" ht="15.75">
      <c r="A291" s="149"/>
      <c r="B291" s="305" t="s">
        <v>335</v>
      </c>
      <c r="C291" s="306"/>
      <c r="D291" s="271">
        <v>72</v>
      </c>
      <c r="E291" s="272"/>
      <c r="F291" s="278">
        <f t="shared" si="35"/>
        <v>13575.636248587982</v>
      </c>
      <c r="G291" s="279"/>
      <c r="H291" s="275">
        <f t="shared" si="31"/>
        <v>135.75636248587983</v>
      </c>
      <c r="I291" s="276"/>
      <c r="J291" s="277"/>
      <c r="K291" s="75">
        <f t="shared" si="36"/>
        <v>-135.75636248587983</v>
      </c>
      <c r="L291" s="81" t="str">
        <f t="shared" si="32"/>
        <v>LOSS</v>
      </c>
      <c r="M291" s="242">
        <f>IF(COUNTA($F$6:$F$10)=5,(F292-F24)/F24,"")</f>
        <v>0.34398798861021024</v>
      </c>
      <c r="N291" s="238">
        <f t="shared" si="33"/>
        <v>1</v>
      </c>
      <c r="O291" s="14" t="str">
        <f t="shared" si="34"/>
        <v>last</v>
      </c>
      <c r="P291" s="14"/>
      <c r="Q291" s="14"/>
      <c r="R291" s="14"/>
      <c r="S291" s="14"/>
      <c r="T291" s="14"/>
      <c r="U291" s="14"/>
      <c r="V291" s="14"/>
      <c r="W291" s="39" t="str">
        <f>IF(AND(L291="WIN",L292&lt;&gt;"WIN"),SUMIF(L$24:L291,"WIN",K$24:K291)-SUM(W$23:W290),"")</f>
        <v/>
      </c>
      <c r="X291" s="41">
        <f>IF(AND(L291="LOSS",L292&lt;&gt;"LOSS"),SUMIF(L$24:L291,"LOSS",K$24:K291)-SUM(X$23:X290),"")</f>
        <v>-135.75636248588125</v>
      </c>
      <c r="Y291" s="8"/>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row>
    <row r="292" spans="1:53" ht="15.75">
      <c r="A292" s="149"/>
      <c r="B292" s="305" t="s">
        <v>336</v>
      </c>
      <c r="C292" s="306"/>
      <c r="D292" s="271">
        <v>4</v>
      </c>
      <c r="E292" s="272"/>
      <c r="F292" s="278">
        <f t="shared" si="35"/>
        <v>13439.879886102102</v>
      </c>
      <c r="G292" s="279"/>
      <c r="H292" s="275">
        <f t="shared" si="31"/>
        <v>134.39879886102102</v>
      </c>
      <c r="I292" s="276"/>
      <c r="J292" s="277"/>
      <c r="K292" s="75">
        <f t="shared" si="36"/>
        <v>161.27855863322523</v>
      </c>
      <c r="L292" s="81" t="str">
        <f t="shared" si="32"/>
        <v>WIN</v>
      </c>
      <c r="M292" s="242">
        <f>IF(COUNTA($F$6:$F$10)=5,(F293-F24)/F24,"")</f>
        <v>0.36011584447353273</v>
      </c>
      <c r="N292" s="238">
        <f t="shared" si="33"/>
        <v>1</v>
      </c>
      <c r="O292" s="14" t="str">
        <f t="shared" si="34"/>
        <v>new</v>
      </c>
      <c r="P292" s="14"/>
      <c r="Q292" s="14"/>
      <c r="R292" s="14"/>
      <c r="S292" s="14"/>
      <c r="T292" s="14"/>
      <c r="U292" s="14"/>
      <c r="V292" s="14"/>
      <c r="W292" s="39" t="str">
        <f>IF(AND(L292="WIN",L293&lt;&gt;"WIN"),SUMIF(L$24:L292,"WIN",K$24:K292)-SUM(W$23:W291),"")</f>
        <v/>
      </c>
      <c r="X292" s="41" t="str">
        <f>IF(AND(L292="LOSS",L293&lt;&gt;"LOSS"),SUMIF(L$24:L292,"LOSS",K$24:K292)-SUM(X$23:X291),"")</f>
        <v/>
      </c>
      <c r="Y292" s="8"/>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row>
    <row r="293" spans="1:53" ht="15.75">
      <c r="A293" s="149"/>
      <c r="B293" s="305" t="s">
        <v>337</v>
      </c>
      <c r="C293" s="306"/>
      <c r="D293" s="271">
        <v>19</v>
      </c>
      <c r="E293" s="272"/>
      <c r="F293" s="278">
        <f t="shared" si="35"/>
        <v>13601.158444735327</v>
      </c>
      <c r="G293" s="279"/>
      <c r="H293" s="275">
        <f t="shared" si="31"/>
        <v>136.01158444735327</v>
      </c>
      <c r="I293" s="276"/>
      <c r="J293" s="277"/>
      <c r="K293" s="75">
        <f t="shared" si="36"/>
        <v>163.21390133682391</v>
      </c>
      <c r="L293" s="81" t="str">
        <f t="shared" si="32"/>
        <v>WIN</v>
      </c>
      <c r="M293" s="242">
        <f>IF(COUNTA($F$6:$F$10)=5,(F294-F24)/F24,"")</f>
        <v>0.37643723460721501</v>
      </c>
      <c r="N293" s="238">
        <f t="shared" si="33"/>
        <v>2</v>
      </c>
      <c r="O293" s="14" t="str">
        <f t="shared" si="34"/>
        <v>last</v>
      </c>
      <c r="P293" s="14"/>
      <c r="Q293" s="14"/>
      <c r="R293" s="14"/>
      <c r="S293" s="14"/>
      <c r="T293" s="14"/>
      <c r="U293" s="14"/>
      <c r="V293" s="14"/>
      <c r="W293" s="39">
        <f>IF(AND(L293="WIN",L294&lt;&gt;"WIN"),SUMIF(L$24:L293,"WIN",K$24:K293)-SUM(W$23:W292),"")</f>
        <v>324.49245997004982</v>
      </c>
      <c r="X293" s="41" t="str">
        <f>IF(AND(L293="LOSS",L294&lt;&gt;"LOSS"),SUMIF(L$24:L293,"LOSS",K$24:K293)-SUM(X$23:X292),"")</f>
        <v/>
      </c>
      <c r="Y293" s="8"/>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row>
    <row r="294" spans="1:53" ht="15.75">
      <c r="A294" s="149"/>
      <c r="B294" s="305" t="s">
        <v>338</v>
      </c>
      <c r="C294" s="306"/>
      <c r="D294" s="271">
        <v>58</v>
      </c>
      <c r="E294" s="272"/>
      <c r="F294" s="278">
        <f t="shared" si="35"/>
        <v>13764.37234607215</v>
      </c>
      <c r="G294" s="279"/>
      <c r="H294" s="275">
        <f t="shared" si="31"/>
        <v>137.6437234607215</v>
      </c>
      <c r="I294" s="276"/>
      <c r="J294" s="277"/>
      <c r="K294" s="75">
        <f t="shared" si="36"/>
        <v>-137.6437234607215</v>
      </c>
      <c r="L294" s="81" t="str">
        <f t="shared" si="32"/>
        <v>LOSS</v>
      </c>
      <c r="M294" s="242">
        <f>IF(COUNTA($F$6:$F$10)=5,(F295-F24)/F24,"")</f>
        <v>0.36267286226114281</v>
      </c>
      <c r="N294" s="238">
        <f t="shared" si="33"/>
        <v>1</v>
      </c>
      <c r="O294" s="14" t="str">
        <f t="shared" si="34"/>
        <v>last</v>
      </c>
      <c r="P294" s="14"/>
      <c r="Q294" s="14"/>
      <c r="R294" s="14"/>
      <c r="S294" s="14"/>
      <c r="T294" s="14"/>
      <c r="U294" s="14"/>
      <c r="V294" s="14"/>
      <c r="W294" s="39" t="str">
        <f>IF(AND(L294="WIN",L295&lt;&gt;"WIN"),SUMIF(L$24:L294,"WIN",K$24:K294)-SUM(W$23:W293),"")</f>
        <v/>
      </c>
      <c r="X294" s="41">
        <f>IF(AND(L294="LOSS",L295&lt;&gt;"LOSS"),SUMIF(L$24:L294,"LOSS",K$24:K294)-SUM(X$23:X293),"")</f>
        <v>-137.64372346072196</v>
      </c>
      <c r="Y294" s="8"/>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row>
    <row r="295" spans="1:53" ht="15.75">
      <c r="A295" s="149"/>
      <c r="B295" s="305" t="s">
        <v>339</v>
      </c>
      <c r="C295" s="306"/>
      <c r="D295" s="271">
        <v>45</v>
      </c>
      <c r="E295" s="272"/>
      <c r="F295" s="278">
        <f t="shared" si="35"/>
        <v>13626.728622611428</v>
      </c>
      <c r="G295" s="279"/>
      <c r="H295" s="275">
        <f t="shared" si="31"/>
        <v>136.26728622611429</v>
      </c>
      <c r="I295" s="276"/>
      <c r="J295" s="277"/>
      <c r="K295" s="75">
        <f t="shared" si="36"/>
        <v>163.52074347133714</v>
      </c>
      <c r="L295" s="81" t="str">
        <f t="shared" si="32"/>
        <v>WIN</v>
      </c>
      <c r="M295" s="242">
        <f>IF(COUNTA($F$6:$F$10)=5,(F296-F24)/F24,"")</f>
        <v>0.37902493660827657</v>
      </c>
      <c r="N295" s="238">
        <f t="shared" si="33"/>
        <v>1</v>
      </c>
      <c r="O295" s="14" t="str">
        <f t="shared" si="34"/>
        <v>new</v>
      </c>
      <c r="P295" s="14"/>
      <c r="Q295" s="14"/>
      <c r="R295" s="14"/>
      <c r="S295" s="14"/>
      <c r="T295" s="14"/>
      <c r="U295" s="14"/>
      <c r="V295" s="14"/>
      <c r="W295" s="39" t="str">
        <f>IF(AND(L295="WIN",L296&lt;&gt;"WIN"),SUMIF(L$24:L295,"WIN",K$24:K295)-SUM(W$23:W294),"")</f>
        <v/>
      </c>
      <c r="X295" s="41" t="str">
        <f>IF(AND(L295="LOSS",L296&lt;&gt;"LOSS"),SUMIF(L$24:L295,"LOSS",K$24:K295)-SUM(X$23:X294),"")</f>
        <v/>
      </c>
      <c r="Y295" s="8"/>
      <c r="Z295" s="85"/>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row>
    <row r="296" spans="1:53" ht="15.75">
      <c r="A296" s="149"/>
      <c r="B296" s="305" t="s">
        <v>340</v>
      </c>
      <c r="C296" s="306"/>
      <c r="D296" s="271">
        <v>3</v>
      </c>
      <c r="E296" s="272"/>
      <c r="F296" s="278">
        <f t="shared" si="35"/>
        <v>13790.249366082766</v>
      </c>
      <c r="G296" s="279"/>
      <c r="H296" s="275">
        <f t="shared" si="31"/>
        <v>137.90249366082767</v>
      </c>
      <c r="I296" s="276"/>
      <c r="J296" s="277"/>
      <c r="K296" s="75">
        <f t="shared" si="36"/>
        <v>165.4829923929932</v>
      </c>
      <c r="L296" s="81" t="str">
        <f t="shared" si="32"/>
        <v>WIN</v>
      </c>
      <c r="M296" s="242">
        <f>IF(COUNTA($F$6:$F$10)=5,(F297-F24)/F24,"")</f>
        <v>0.39557323584757598</v>
      </c>
      <c r="N296" s="238">
        <f t="shared" si="33"/>
        <v>2</v>
      </c>
      <c r="O296" s="14" t="str">
        <f t="shared" si="34"/>
        <v>middle</v>
      </c>
      <c r="P296" s="14"/>
      <c r="Q296" s="14"/>
      <c r="R296" s="14"/>
      <c r="S296" s="14"/>
      <c r="T296" s="14"/>
      <c r="U296" s="14"/>
      <c r="V296" s="14"/>
      <c r="W296" s="39" t="str">
        <f>IF(AND(L296="WIN",L297&lt;&gt;"WIN"),SUMIF(L$24:L296,"WIN",K$24:K296)-SUM(W$23:W295),"")</f>
        <v/>
      </c>
      <c r="X296" s="41" t="str">
        <f>IF(AND(L296="LOSS",L297&lt;&gt;"LOSS"),SUMIF(L$24:L296,"LOSS",K$24:K296)-SUM(X$23:X295),"")</f>
        <v/>
      </c>
      <c r="Y296" s="8"/>
      <c r="Z296" s="85"/>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row>
    <row r="297" spans="1:53" ht="15.75">
      <c r="A297" s="149"/>
      <c r="B297" s="305" t="s">
        <v>341</v>
      </c>
      <c r="C297" s="306"/>
      <c r="D297" s="271">
        <v>7</v>
      </c>
      <c r="E297" s="272"/>
      <c r="F297" s="278">
        <f t="shared" si="35"/>
        <v>13955.73235847576</v>
      </c>
      <c r="G297" s="279"/>
      <c r="H297" s="275">
        <f t="shared" si="31"/>
        <v>139.5573235847576</v>
      </c>
      <c r="I297" s="276"/>
      <c r="J297" s="277"/>
      <c r="K297" s="75">
        <f t="shared" si="36"/>
        <v>167.46878830170911</v>
      </c>
      <c r="L297" s="81" t="str">
        <f t="shared" si="32"/>
        <v>WIN</v>
      </c>
      <c r="M297" s="242">
        <f>IF(COUNTA($F$6:$F$10)=5,(F298-F24)/F24,"")</f>
        <v>0.41232011467774682</v>
      </c>
      <c r="N297" s="238">
        <f t="shared" si="33"/>
        <v>3</v>
      </c>
      <c r="O297" s="14" t="str">
        <f t="shared" si="34"/>
        <v>last</v>
      </c>
      <c r="P297" s="14"/>
      <c r="Q297" s="14"/>
      <c r="R297" s="14"/>
      <c r="S297" s="14"/>
      <c r="T297" s="14"/>
      <c r="U297" s="14"/>
      <c r="V297" s="14"/>
      <c r="W297" s="39">
        <f>IF(AND(L297="WIN",L298&lt;&gt;"WIN"),SUMIF(L$24:L297,"WIN",K$24:K297)-SUM(W$23:W296),"")</f>
        <v>496.47252416604169</v>
      </c>
      <c r="X297" s="41" t="str">
        <f>IF(AND(L297="LOSS",L298&lt;&gt;"LOSS"),SUMIF(L$24:L297,"LOSS",K$24:K297)-SUM(X$23:X296),"")</f>
        <v/>
      </c>
      <c r="Y297" s="8"/>
      <c r="Z297" s="85"/>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row>
    <row r="298" spans="1:53" ht="15.75">
      <c r="A298" s="149"/>
      <c r="B298" s="305" t="s">
        <v>342</v>
      </c>
      <c r="C298" s="306"/>
      <c r="D298" s="271">
        <v>74</v>
      </c>
      <c r="E298" s="272"/>
      <c r="F298" s="278">
        <f t="shared" si="35"/>
        <v>14123.201146777468</v>
      </c>
      <c r="G298" s="279"/>
      <c r="H298" s="275">
        <f t="shared" si="31"/>
        <v>141.2320114677747</v>
      </c>
      <c r="I298" s="276"/>
      <c r="J298" s="277"/>
      <c r="K298" s="75">
        <f t="shared" si="36"/>
        <v>-141.2320114677747</v>
      </c>
      <c r="L298" s="81" t="str">
        <f t="shared" si="32"/>
        <v>LOSS</v>
      </c>
      <c r="M298" s="242">
        <f>IF(COUNTA($F$6:$F$10)=5,(F299-F24)/F24,"")</f>
        <v>0.39819691353096931</v>
      </c>
      <c r="N298" s="238">
        <f t="shared" si="33"/>
        <v>1</v>
      </c>
      <c r="O298" s="14" t="str">
        <f t="shared" si="34"/>
        <v>new</v>
      </c>
      <c r="P298" s="14"/>
      <c r="Q298" s="14"/>
      <c r="R298" s="14"/>
      <c r="S298" s="14"/>
      <c r="T298" s="14"/>
      <c r="U298" s="14"/>
      <c r="V298" s="14"/>
      <c r="W298" s="39" t="str">
        <f>IF(AND(L298="WIN",L299&lt;&gt;"WIN"),SUMIF(L$24:L298,"WIN",K$24:K298)-SUM(W$23:W297),"")</f>
        <v/>
      </c>
      <c r="X298" s="41" t="str">
        <f>IF(AND(L298="LOSS",L299&lt;&gt;"LOSS"),SUMIF(L$24:L298,"LOSS",K$24:K298)-SUM(X$23:X297),"")</f>
        <v/>
      </c>
      <c r="Y298" s="8"/>
      <c r="Z298" s="85"/>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row>
    <row r="299" spans="1:53" ht="15.75">
      <c r="A299" s="149"/>
      <c r="B299" s="305" t="s">
        <v>343</v>
      </c>
      <c r="C299" s="306"/>
      <c r="D299" s="271">
        <v>58</v>
      </c>
      <c r="E299" s="272"/>
      <c r="F299" s="278">
        <f t="shared" si="35"/>
        <v>13981.969135309693</v>
      </c>
      <c r="G299" s="279"/>
      <c r="H299" s="275">
        <f t="shared" si="31"/>
        <v>139.81969135309694</v>
      </c>
      <c r="I299" s="276"/>
      <c r="J299" s="277"/>
      <c r="K299" s="75">
        <f t="shared" si="36"/>
        <v>-139.81969135309694</v>
      </c>
      <c r="L299" s="81" t="str">
        <f t="shared" si="32"/>
        <v>LOSS</v>
      </c>
      <c r="M299" s="242">
        <f>IF(COUNTA($F$6:$F$10)=5,(F300-F24)/F24,"")</f>
        <v>0.38421494439565956</v>
      </c>
      <c r="N299" s="238">
        <f t="shared" si="33"/>
        <v>2</v>
      </c>
      <c r="O299" s="14" t="str">
        <f t="shared" si="34"/>
        <v>middle</v>
      </c>
      <c r="P299" s="14"/>
      <c r="Q299" s="14"/>
      <c r="R299" s="14"/>
      <c r="S299" s="14"/>
      <c r="T299" s="14"/>
      <c r="U299" s="14"/>
      <c r="V299" s="14"/>
      <c r="W299" s="39" t="str">
        <f>IF(AND(L299="WIN",L300&lt;&gt;"WIN"),SUMIF(L$24:L299,"WIN",K$24:K299)-SUM(W$23:W298),"")</f>
        <v/>
      </c>
      <c r="X299" s="41" t="str">
        <f>IF(AND(L299="LOSS",L300&lt;&gt;"LOSS"),SUMIF(L$24:L299,"LOSS",K$24:K299)-SUM(X$23:X298),"")</f>
        <v/>
      </c>
      <c r="Y299" s="8"/>
      <c r="Z299" s="85"/>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row>
    <row r="300" spans="1:53" ht="15.75">
      <c r="A300" s="149"/>
      <c r="B300" s="305" t="s">
        <v>344</v>
      </c>
      <c r="C300" s="306"/>
      <c r="D300" s="271">
        <v>94</v>
      </c>
      <c r="E300" s="272"/>
      <c r="F300" s="278">
        <f t="shared" si="35"/>
        <v>13842.149443956596</v>
      </c>
      <c r="G300" s="279"/>
      <c r="H300" s="275">
        <f t="shared" si="31"/>
        <v>138.42149443956598</v>
      </c>
      <c r="I300" s="276"/>
      <c r="J300" s="277"/>
      <c r="K300" s="75">
        <f t="shared" si="36"/>
        <v>-138.42149443956598</v>
      </c>
      <c r="L300" s="81" t="str">
        <f t="shared" si="32"/>
        <v>LOSS</v>
      </c>
      <c r="M300" s="242">
        <f>IF(COUNTA($F$6:$F$10)=5,(F301-F24)/F24,"")</f>
        <v>0.37037279495170294</v>
      </c>
      <c r="N300" s="238">
        <f t="shared" si="33"/>
        <v>3</v>
      </c>
      <c r="O300" s="14" t="str">
        <f t="shared" si="34"/>
        <v>middle</v>
      </c>
      <c r="P300" s="14"/>
      <c r="Q300" s="14"/>
      <c r="R300" s="14"/>
      <c r="S300" s="14"/>
      <c r="T300" s="14"/>
      <c r="U300" s="14"/>
      <c r="V300" s="14"/>
      <c r="W300" s="39" t="str">
        <f>IF(AND(L300="WIN",L301&lt;&gt;"WIN"),SUMIF(L$24:L300,"WIN",K$24:K300)-SUM(W$23:W299),"")</f>
        <v/>
      </c>
      <c r="X300" s="41" t="str">
        <f>IF(AND(L300="LOSS",L301&lt;&gt;"LOSS"),SUMIF(L$24:L300,"LOSS",K$24:K300)-SUM(X$23:X299),"")</f>
        <v/>
      </c>
      <c r="Y300" s="8"/>
      <c r="Z300" s="85"/>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row>
    <row r="301" spans="1:53" ht="15.75">
      <c r="A301" s="149"/>
      <c r="B301" s="305" t="s">
        <v>345</v>
      </c>
      <c r="C301" s="306"/>
      <c r="D301" s="271">
        <v>60</v>
      </c>
      <c r="E301" s="272"/>
      <c r="F301" s="278">
        <f t="shared" si="35"/>
        <v>13703.72794951703</v>
      </c>
      <c r="G301" s="279"/>
      <c r="H301" s="275">
        <f t="shared" si="31"/>
        <v>137.03727949517031</v>
      </c>
      <c r="I301" s="276"/>
      <c r="J301" s="277"/>
      <c r="K301" s="75">
        <f t="shared" si="36"/>
        <v>-137.03727949517031</v>
      </c>
      <c r="L301" s="81" t="str">
        <f t="shared" si="32"/>
        <v>LOSS</v>
      </c>
      <c r="M301" s="242">
        <f>IF(COUNTA($F$6:$F$10)=5,(F302-F24)/F24,"")</f>
        <v>0.35666906700218587</v>
      </c>
      <c r="N301" s="238">
        <f t="shared" si="33"/>
        <v>4</v>
      </c>
      <c r="O301" s="14" t="str">
        <f t="shared" si="34"/>
        <v>middle</v>
      </c>
      <c r="P301" s="14"/>
      <c r="Q301" s="14"/>
      <c r="R301" s="14"/>
      <c r="S301" s="14"/>
      <c r="T301" s="14"/>
      <c r="U301" s="14"/>
      <c r="V301" s="14"/>
      <c r="W301" s="39" t="str">
        <f>IF(AND(L301="WIN",L302&lt;&gt;"WIN"),SUMIF(L$24:L301,"WIN",K$24:K301)-SUM(W$23:W300),"")</f>
        <v/>
      </c>
      <c r="X301" s="41" t="str">
        <f>IF(AND(L301="LOSS",L302&lt;&gt;"LOSS"),SUMIF(L$24:L301,"LOSS",K$24:K301)-SUM(X$23:X300),"")</f>
        <v/>
      </c>
      <c r="Y301" s="8"/>
      <c r="Z301" s="85"/>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row>
    <row r="302" spans="1:53" ht="15.75">
      <c r="A302" s="149"/>
      <c r="B302" s="305" t="s">
        <v>346</v>
      </c>
      <c r="C302" s="306"/>
      <c r="D302" s="271">
        <v>81</v>
      </c>
      <c r="E302" s="272"/>
      <c r="F302" s="278">
        <f t="shared" si="35"/>
        <v>13566.690670021859</v>
      </c>
      <c r="G302" s="279"/>
      <c r="H302" s="275">
        <f t="shared" si="31"/>
        <v>135.66690670021859</v>
      </c>
      <c r="I302" s="276"/>
      <c r="J302" s="277"/>
      <c r="K302" s="75">
        <f t="shared" si="36"/>
        <v>-135.66690670021859</v>
      </c>
      <c r="L302" s="81" t="str">
        <f t="shared" si="32"/>
        <v>LOSS</v>
      </c>
      <c r="M302" s="242">
        <f>IF(COUNTA($F$6:$F$10)=5,(F303-F24)/F24,"")</f>
        <v>0.34310237633216401</v>
      </c>
      <c r="N302" s="238">
        <f t="shared" si="33"/>
        <v>5</v>
      </c>
      <c r="O302" s="14" t="str">
        <f t="shared" si="34"/>
        <v>last</v>
      </c>
      <c r="P302" s="14"/>
      <c r="Q302" s="14"/>
      <c r="R302" s="14"/>
      <c r="S302" s="14"/>
      <c r="T302" s="14"/>
      <c r="U302" s="14"/>
      <c r="V302" s="14"/>
      <c r="W302" s="39" t="str">
        <f>IF(AND(L302="WIN",L303&lt;&gt;"WIN"),SUMIF(L$24:L302,"WIN",K$24:K302)-SUM(W$23:W301),"")</f>
        <v/>
      </c>
      <c r="X302" s="41">
        <f>IF(AND(L302="LOSS",L303&lt;&gt;"LOSS"),SUMIF(L$24:L302,"LOSS",K$24:K302)-SUM(X$23:X301),"")</f>
        <v>-692.17738345582256</v>
      </c>
      <c r="Y302" s="8"/>
      <c r="Z302" s="85"/>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row>
    <row r="303" spans="1:53" ht="15.75">
      <c r="A303" s="149"/>
      <c r="B303" s="305" t="s">
        <v>347</v>
      </c>
      <c r="C303" s="306"/>
      <c r="D303" s="271">
        <v>19</v>
      </c>
      <c r="E303" s="272"/>
      <c r="F303" s="278">
        <f t="shared" si="35"/>
        <v>13431.02376332164</v>
      </c>
      <c r="G303" s="279"/>
      <c r="H303" s="275">
        <f t="shared" si="31"/>
        <v>134.31023763321642</v>
      </c>
      <c r="I303" s="276"/>
      <c r="J303" s="277"/>
      <c r="K303" s="75">
        <f t="shared" si="36"/>
        <v>161.17228515985968</v>
      </c>
      <c r="L303" s="81" t="str">
        <f t="shared" si="32"/>
        <v>WIN</v>
      </c>
      <c r="M303" s="242">
        <f>IF(COUNTA($F$6:$F$10)=5,(F304-F24)/F24,"")</f>
        <v>0.35921960484815008</v>
      </c>
      <c r="N303" s="238">
        <f t="shared" si="33"/>
        <v>1</v>
      </c>
      <c r="O303" s="14" t="str">
        <f t="shared" si="34"/>
        <v>last</v>
      </c>
      <c r="P303" s="14"/>
      <c r="Q303" s="14"/>
      <c r="R303" s="14"/>
      <c r="S303" s="14"/>
      <c r="T303" s="14"/>
      <c r="U303" s="14"/>
      <c r="V303" s="14"/>
      <c r="W303" s="39">
        <f>IF(AND(L303="WIN",L304&lt;&gt;"WIN"),SUMIF(L$24:L303,"WIN",K$24:K303)-SUM(W$23:W302),"")</f>
        <v>161.17228515986062</v>
      </c>
      <c r="X303" s="41" t="str">
        <f>IF(AND(L303="LOSS",L304&lt;&gt;"LOSS"),SUMIF(L$24:L303,"LOSS",K$24:K303)-SUM(X$23:X302),"")</f>
        <v/>
      </c>
      <c r="Y303" s="8"/>
      <c r="Z303" s="85"/>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row>
    <row r="304" spans="1:53" ht="15.75">
      <c r="A304" s="149"/>
      <c r="B304" s="305" t="s">
        <v>348</v>
      </c>
      <c r="C304" s="306"/>
      <c r="D304" s="271">
        <v>55</v>
      </c>
      <c r="E304" s="272"/>
      <c r="F304" s="278">
        <f t="shared" si="35"/>
        <v>13592.196048481501</v>
      </c>
      <c r="G304" s="279"/>
      <c r="H304" s="275">
        <f t="shared" si="31"/>
        <v>135.921960484815</v>
      </c>
      <c r="I304" s="276"/>
      <c r="J304" s="277"/>
      <c r="K304" s="75">
        <f t="shared" si="36"/>
        <v>-135.921960484815</v>
      </c>
      <c r="L304" s="81" t="str">
        <f t="shared" si="32"/>
        <v>LOSS</v>
      </c>
      <c r="M304" s="242">
        <f>IF(COUNTA($F$6:$F$10)=5,(F305-F24)/F24,"")</f>
        <v>0.34562740879966858</v>
      </c>
      <c r="N304" s="238">
        <f t="shared" si="33"/>
        <v>1</v>
      </c>
      <c r="O304" s="14" t="str">
        <f t="shared" si="34"/>
        <v>last</v>
      </c>
      <c r="P304" s="14"/>
      <c r="Q304" s="14"/>
      <c r="R304" s="14"/>
      <c r="S304" s="14"/>
      <c r="T304" s="14"/>
      <c r="U304" s="14"/>
      <c r="V304" s="14"/>
      <c r="W304" s="39" t="str">
        <f>IF(AND(L304="WIN",L305&lt;&gt;"WIN"),SUMIF(L$24:L304,"WIN",K$24:K304)-SUM(W$23:W303),"")</f>
        <v/>
      </c>
      <c r="X304" s="41">
        <f>IF(AND(L304="LOSS",L305&lt;&gt;"LOSS"),SUMIF(L$24:L304,"LOSS",K$24:K304)-SUM(X$23:X303),"")</f>
        <v>-135.92196048481492</v>
      </c>
      <c r="Y304" s="8"/>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row>
    <row r="305" spans="1:53" ht="15.75">
      <c r="A305" s="149"/>
      <c r="B305" s="305" t="s">
        <v>349</v>
      </c>
      <c r="C305" s="306"/>
      <c r="D305" s="271">
        <v>8</v>
      </c>
      <c r="E305" s="272"/>
      <c r="F305" s="278">
        <f t="shared" si="35"/>
        <v>13456.274087996686</v>
      </c>
      <c r="G305" s="279"/>
      <c r="H305" s="275">
        <f t="shared" si="31"/>
        <v>134.56274087996687</v>
      </c>
      <c r="I305" s="276"/>
      <c r="J305" s="277"/>
      <c r="K305" s="75">
        <f t="shared" si="36"/>
        <v>161.47528905596025</v>
      </c>
      <c r="L305" s="81" t="str">
        <f t="shared" si="32"/>
        <v>WIN</v>
      </c>
      <c r="M305" s="242">
        <f>IF(COUNTA($F$6:$F$10)=5,(F306-F24)/F24,"")</f>
        <v>0.3617749377052647</v>
      </c>
      <c r="N305" s="238">
        <f t="shared" si="33"/>
        <v>1</v>
      </c>
      <c r="O305" s="14" t="str">
        <f t="shared" si="34"/>
        <v>new</v>
      </c>
      <c r="P305" s="14"/>
      <c r="Q305" s="14"/>
      <c r="R305" s="14"/>
      <c r="S305" s="14"/>
      <c r="T305" s="14"/>
      <c r="U305" s="14"/>
      <c r="V305" s="14"/>
      <c r="W305" s="39" t="str">
        <f>IF(AND(L305="WIN",L306&lt;&gt;"WIN"),SUMIF(L$24:L305,"WIN",K$24:K305)-SUM(W$23:W304),"")</f>
        <v/>
      </c>
      <c r="X305" s="41" t="str">
        <f>IF(AND(L305="LOSS",L306&lt;&gt;"LOSS"),SUMIF(L$24:L305,"LOSS",K$24:K305)-SUM(X$23:X304),"")</f>
        <v/>
      </c>
      <c r="Y305" s="8"/>
      <c r="Z305" s="85"/>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row>
    <row r="306" spans="1:53" ht="15.75">
      <c r="A306" s="149"/>
      <c r="B306" s="305" t="s">
        <v>350</v>
      </c>
      <c r="C306" s="306"/>
      <c r="D306" s="271">
        <v>4</v>
      </c>
      <c r="E306" s="272"/>
      <c r="F306" s="278">
        <f t="shared" si="35"/>
        <v>13617.749377052647</v>
      </c>
      <c r="G306" s="279"/>
      <c r="H306" s="275">
        <f t="shared" si="31"/>
        <v>136.17749377052647</v>
      </c>
      <c r="I306" s="276"/>
      <c r="J306" s="277"/>
      <c r="K306" s="75">
        <f t="shared" si="36"/>
        <v>163.41299252463176</v>
      </c>
      <c r="L306" s="81" t="str">
        <f t="shared" si="32"/>
        <v>WIN</v>
      </c>
      <c r="M306" s="242">
        <f>IF(COUNTA($F$6:$F$10)=5,(F307-F24)/F24,"")</f>
        <v>0.37811623695772795</v>
      </c>
      <c r="N306" s="238">
        <f t="shared" si="33"/>
        <v>2</v>
      </c>
      <c r="O306" s="14" t="str">
        <f t="shared" si="34"/>
        <v>last</v>
      </c>
      <c r="P306" s="14"/>
      <c r="Q306" s="14"/>
      <c r="R306" s="14"/>
      <c r="S306" s="14"/>
      <c r="T306" s="14"/>
      <c r="U306" s="14"/>
      <c r="V306" s="14"/>
      <c r="W306" s="39">
        <f>IF(AND(L306="WIN",L307&lt;&gt;"WIN"),SUMIF(L$24:L306,"WIN",K$24:K306)-SUM(W$23:W305),"")</f>
        <v>324.88828158059187</v>
      </c>
      <c r="X306" s="41" t="str">
        <f>IF(AND(L306="LOSS",L307&lt;&gt;"LOSS"),SUMIF(L$24:L306,"LOSS",K$24:K306)-SUM(X$23:X305),"")</f>
        <v/>
      </c>
      <c r="Y306" s="8"/>
      <c r="Z306" s="85"/>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row>
    <row r="307" spans="1:53" ht="15.75">
      <c r="A307" s="149"/>
      <c r="B307" s="305" t="s">
        <v>351</v>
      </c>
      <c r="C307" s="306"/>
      <c r="D307" s="271">
        <v>68</v>
      </c>
      <c r="E307" s="272"/>
      <c r="F307" s="278">
        <f t="shared" si="35"/>
        <v>13781.16236957728</v>
      </c>
      <c r="G307" s="279"/>
      <c r="H307" s="275">
        <f t="shared" si="31"/>
        <v>137.81162369577279</v>
      </c>
      <c r="I307" s="276"/>
      <c r="J307" s="277"/>
      <c r="K307" s="75">
        <f t="shared" si="36"/>
        <v>-137.81162369577279</v>
      </c>
      <c r="L307" s="81" t="str">
        <f t="shared" si="32"/>
        <v>LOSS</v>
      </c>
      <c r="M307" s="242">
        <f>IF(COUNTA($F$6:$F$10)=5,(F308-F24)/F24,"")</f>
        <v>0.36433507458815073</v>
      </c>
      <c r="N307" s="238">
        <f t="shared" si="33"/>
        <v>1</v>
      </c>
      <c r="O307" s="14" t="str">
        <f t="shared" si="34"/>
        <v>new</v>
      </c>
      <c r="P307" s="14"/>
      <c r="Q307" s="14"/>
      <c r="R307" s="14"/>
      <c r="S307" s="14"/>
      <c r="T307" s="14"/>
      <c r="U307" s="14"/>
      <c r="V307" s="14"/>
      <c r="W307" s="39" t="str">
        <f>IF(AND(L307="WIN",L308&lt;&gt;"WIN"),SUMIF(L$24:L307,"WIN",K$24:K307)-SUM(W$23:W306),"")</f>
        <v/>
      </c>
      <c r="X307" s="41" t="str">
        <f>IF(AND(L307="LOSS",L308&lt;&gt;"LOSS"),SUMIF(L$24:L307,"LOSS",K$24:K307)-SUM(X$23:X306),"")</f>
        <v/>
      </c>
      <c r="Y307" s="8"/>
      <c r="Z307" s="85"/>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row>
    <row r="308" spans="1:53" ht="15.75">
      <c r="A308" s="149"/>
      <c r="B308" s="305" t="s">
        <v>352</v>
      </c>
      <c r="C308" s="306"/>
      <c r="D308" s="271">
        <v>80</v>
      </c>
      <c r="E308" s="272"/>
      <c r="F308" s="278">
        <f t="shared" si="35"/>
        <v>13643.350745881507</v>
      </c>
      <c r="G308" s="279"/>
      <c r="H308" s="275">
        <f t="shared" si="31"/>
        <v>136.43350745881509</v>
      </c>
      <c r="I308" s="276"/>
      <c r="J308" s="277"/>
      <c r="K308" s="75">
        <f t="shared" si="36"/>
        <v>-136.43350745881509</v>
      </c>
      <c r="L308" s="81" t="str">
        <f t="shared" si="32"/>
        <v>LOSS</v>
      </c>
      <c r="M308" s="242">
        <f>IF(COUNTA($F$6:$F$10)=5,(F309-F24)/F24,"")</f>
        <v>0.35069172384226932</v>
      </c>
      <c r="N308" s="238">
        <f t="shared" si="33"/>
        <v>2</v>
      </c>
      <c r="O308" s="14" t="str">
        <f t="shared" si="34"/>
        <v>last</v>
      </c>
      <c r="P308" s="14"/>
      <c r="Q308" s="14"/>
      <c r="R308" s="14"/>
      <c r="S308" s="14"/>
      <c r="T308" s="14"/>
      <c r="U308" s="14"/>
      <c r="V308" s="14"/>
      <c r="W308" s="39" t="str">
        <f>IF(AND(L308="WIN",L309&lt;&gt;"WIN"),SUMIF(L$24:L308,"WIN",K$24:K308)-SUM(W$23:W307),"")</f>
        <v/>
      </c>
      <c r="X308" s="41">
        <f>IF(AND(L308="LOSS",L309&lt;&gt;"LOSS"),SUMIF(L$24:L308,"LOSS",K$24:K308)-SUM(X$23:X307),"")</f>
        <v>-274.24513115458831</v>
      </c>
      <c r="Y308" s="8"/>
      <c r="Z308" s="85"/>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row>
    <row r="309" spans="1:53" ht="15.75">
      <c r="A309" s="149"/>
      <c r="B309" s="305" t="s">
        <v>353</v>
      </c>
      <c r="C309" s="306"/>
      <c r="D309" s="271">
        <v>37</v>
      </c>
      <c r="E309" s="272"/>
      <c r="F309" s="278">
        <f t="shared" si="35"/>
        <v>13506.917238422693</v>
      </c>
      <c r="G309" s="279"/>
      <c r="H309" s="275">
        <f t="shared" si="31"/>
        <v>135.06917238422693</v>
      </c>
      <c r="I309" s="276"/>
      <c r="J309" s="277"/>
      <c r="K309" s="75">
        <f t="shared" si="36"/>
        <v>162.08300686107231</v>
      </c>
      <c r="L309" s="81" t="str">
        <f t="shared" si="32"/>
        <v>WIN</v>
      </c>
      <c r="M309" s="242">
        <f>IF(COUNTA($F$6:$F$10)=5,(F310-F24)/F24,"")</f>
        <v>0.3669000245283765</v>
      </c>
      <c r="N309" s="238">
        <f t="shared" si="33"/>
        <v>1</v>
      </c>
      <c r="O309" s="14" t="str">
        <f t="shared" si="34"/>
        <v>new</v>
      </c>
      <c r="P309" s="14"/>
      <c r="Q309" s="14"/>
      <c r="R309" s="14"/>
      <c r="S309" s="14"/>
      <c r="T309" s="14"/>
      <c r="U309" s="14"/>
      <c r="V309" s="14"/>
      <c r="W309" s="39" t="str">
        <f>IF(AND(L309="WIN",L310&lt;&gt;"WIN"),SUMIF(L$24:L309,"WIN",K$24:K309)-SUM(W$23:W308),"")</f>
        <v/>
      </c>
      <c r="X309" s="41" t="str">
        <f>IF(AND(L309="LOSS",L310&lt;&gt;"LOSS"),SUMIF(L$24:L309,"LOSS",K$24:K309)-SUM(X$23:X308),"")</f>
        <v/>
      </c>
      <c r="Y309" s="8"/>
      <c r="Z309" s="85"/>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row>
    <row r="310" spans="1:53" ht="15.75">
      <c r="A310" s="149"/>
      <c r="B310" s="305" t="s">
        <v>354</v>
      </c>
      <c r="C310" s="306"/>
      <c r="D310" s="271">
        <v>11</v>
      </c>
      <c r="E310" s="272"/>
      <c r="F310" s="278">
        <f t="shared" si="35"/>
        <v>13669.000245283765</v>
      </c>
      <c r="G310" s="279"/>
      <c r="H310" s="275">
        <f t="shared" si="31"/>
        <v>136.69000245283766</v>
      </c>
      <c r="I310" s="276"/>
      <c r="J310" s="277"/>
      <c r="K310" s="75">
        <f t="shared" si="36"/>
        <v>164.0280029434052</v>
      </c>
      <c r="L310" s="81" t="str">
        <f t="shared" si="32"/>
        <v>WIN</v>
      </c>
      <c r="M310" s="242">
        <f>IF(COUNTA($F$6:$F$10)=5,(F311-F24)/F24,"")</f>
        <v>0.38330282482271705</v>
      </c>
      <c r="N310" s="238">
        <f t="shared" si="33"/>
        <v>2</v>
      </c>
      <c r="O310" s="14" t="str">
        <f t="shared" si="34"/>
        <v>middle</v>
      </c>
      <c r="P310" s="14"/>
      <c r="Q310" s="14"/>
      <c r="R310" s="14"/>
      <c r="S310" s="14"/>
      <c r="T310" s="14"/>
      <c r="U310" s="14"/>
      <c r="V310" s="14"/>
      <c r="W310" s="39" t="str">
        <f>IF(AND(L310="WIN",L311&lt;&gt;"WIN"),SUMIF(L$24:L310,"WIN",K$24:K310)-SUM(W$23:W309),"")</f>
        <v/>
      </c>
      <c r="X310" s="41" t="str">
        <f>IF(AND(L310="LOSS",L311&lt;&gt;"LOSS"),SUMIF(L$24:L310,"LOSS",K$24:K310)-SUM(X$23:X309),"")</f>
        <v/>
      </c>
      <c r="Y310" s="8"/>
      <c r="Z310" s="85"/>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row>
    <row r="311" spans="1:53" ht="15.75">
      <c r="A311" s="149"/>
      <c r="B311" s="305" t="s">
        <v>355</v>
      </c>
      <c r="C311" s="306"/>
      <c r="D311" s="271">
        <v>19</v>
      </c>
      <c r="E311" s="272"/>
      <c r="F311" s="278">
        <f t="shared" si="35"/>
        <v>13833.02824822717</v>
      </c>
      <c r="G311" s="279"/>
      <c r="H311" s="275">
        <f t="shared" si="31"/>
        <v>138.33028248227171</v>
      </c>
      <c r="I311" s="276"/>
      <c r="J311" s="277"/>
      <c r="K311" s="75">
        <f t="shared" si="36"/>
        <v>165.99633897872604</v>
      </c>
      <c r="L311" s="81" t="str">
        <f t="shared" si="32"/>
        <v>WIN</v>
      </c>
      <c r="M311" s="242">
        <f>IF(COUNTA($F$6:$F$10)=5,(F312-F24)/F24,"")</f>
        <v>0.39990245872058966</v>
      </c>
      <c r="N311" s="238">
        <f t="shared" si="33"/>
        <v>3</v>
      </c>
      <c r="O311" s="14" t="str">
        <f t="shared" si="34"/>
        <v>last</v>
      </c>
      <c r="P311" s="14"/>
      <c r="Q311" s="14"/>
      <c r="R311" s="14"/>
      <c r="S311" s="14"/>
      <c r="T311" s="14"/>
      <c r="U311" s="14"/>
      <c r="V311" s="14"/>
      <c r="W311" s="39">
        <f>IF(AND(L311="WIN",L312&lt;&gt;"WIN"),SUMIF(L$24:L311,"WIN",K$24:K311)-SUM(W$23:W310),"")</f>
        <v>492.10734878320363</v>
      </c>
      <c r="X311" s="41" t="str">
        <f>IF(AND(L311="LOSS",L312&lt;&gt;"LOSS"),SUMIF(L$24:L311,"LOSS",K$24:K311)-SUM(X$23:X310),"")</f>
        <v/>
      </c>
      <c r="Y311" s="8"/>
      <c r="Z311" s="85"/>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row>
    <row r="312" spans="1:53" ht="15.75">
      <c r="A312" s="149"/>
      <c r="B312" s="305" t="s">
        <v>356</v>
      </c>
      <c r="C312" s="306"/>
      <c r="D312" s="271">
        <v>67</v>
      </c>
      <c r="E312" s="272"/>
      <c r="F312" s="278">
        <f t="shared" si="35"/>
        <v>13999.024587205897</v>
      </c>
      <c r="G312" s="279"/>
      <c r="H312" s="275">
        <f t="shared" si="31"/>
        <v>139.99024587205898</v>
      </c>
      <c r="I312" s="276"/>
      <c r="J312" s="277"/>
      <c r="K312" s="75">
        <f t="shared" si="36"/>
        <v>-139.99024587205898</v>
      </c>
      <c r="L312" s="81" t="str">
        <f t="shared" si="32"/>
        <v>LOSS</v>
      </c>
      <c r="M312" s="242">
        <f>IF(COUNTA($F$6:$F$10)=5,(F313-F24)/F24,"")</f>
        <v>0.38590343413338379</v>
      </c>
      <c r="N312" s="238">
        <f t="shared" si="33"/>
        <v>1</v>
      </c>
      <c r="O312" s="14" t="str">
        <f t="shared" si="34"/>
        <v>last</v>
      </c>
      <c r="P312" s="14"/>
      <c r="Q312" s="14"/>
      <c r="R312" s="14"/>
      <c r="S312" s="14"/>
      <c r="T312" s="14"/>
      <c r="U312" s="14"/>
      <c r="V312" s="14"/>
      <c r="W312" s="39" t="str">
        <f>IF(AND(L312="WIN",L313&lt;&gt;"WIN"),SUMIF(L$24:L312,"WIN",K$24:K312)-SUM(W$23:W311),"")</f>
        <v/>
      </c>
      <c r="X312" s="41">
        <f>IF(AND(L312="LOSS",L313&lt;&gt;"LOSS"),SUMIF(L$24:L312,"LOSS",K$24:K312)-SUM(X$23:X311),"")</f>
        <v>-139.99024587206077</v>
      </c>
      <c r="Y312" s="8"/>
      <c r="Z312" s="85"/>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row>
    <row r="313" spans="1:53" ht="15.75">
      <c r="A313" s="149"/>
      <c r="B313" s="305" t="s">
        <v>357</v>
      </c>
      <c r="C313" s="306"/>
      <c r="D313" s="271">
        <v>39</v>
      </c>
      <c r="E313" s="272"/>
      <c r="F313" s="278">
        <f t="shared" si="35"/>
        <v>13859.034341333838</v>
      </c>
      <c r="G313" s="279"/>
      <c r="H313" s="275">
        <f t="shared" si="31"/>
        <v>138.59034341333839</v>
      </c>
      <c r="I313" s="276"/>
      <c r="J313" s="277"/>
      <c r="K313" s="75">
        <f t="shared" si="36"/>
        <v>166.30841209600607</v>
      </c>
      <c r="L313" s="81" t="str">
        <f t="shared" si="32"/>
        <v>WIN</v>
      </c>
      <c r="M313" s="242">
        <f>IF(COUNTA($F$6:$F$10)=5,(F314-F24)/F24,"")</f>
        <v>0.40253427534298442</v>
      </c>
      <c r="N313" s="238">
        <f t="shared" si="33"/>
        <v>1</v>
      </c>
      <c r="O313" s="14" t="str">
        <f t="shared" si="34"/>
        <v>new</v>
      </c>
      <c r="P313" s="14"/>
      <c r="Q313" s="14"/>
      <c r="R313" s="14"/>
      <c r="S313" s="14"/>
      <c r="T313" s="14"/>
      <c r="U313" s="14"/>
      <c r="V313" s="14"/>
      <c r="W313" s="39" t="str">
        <f>IF(AND(L313="WIN",L314&lt;&gt;"WIN"),SUMIF(L$24:L313,"WIN",K$24:K313)-SUM(W$23:W312),"")</f>
        <v/>
      </c>
      <c r="X313" s="41" t="str">
        <f>IF(AND(L313="LOSS",L314&lt;&gt;"LOSS"),SUMIF(L$24:L313,"LOSS",K$24:K313)-SUM(X$23:X312),"")</f>
        <v/>
      </c>
      <c r="Y313" s="8"/>
      <c r="Z313" s="85"/>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row>
    <row r="314" spans="1:53" ht="15.75">
      <c r="A314" s="149"/>
      <c r="B314" s="305" t="s">
        <v>358</v>
      </c>
      <c r="C314" s="306"/>
      <c r="D314" s="271">
        <v>39</v>
      </c>
      <c r="E314" s="272"/>
      <c r="F314" s="278">
        <f t="shared" si="35"/>
        <v>14025.342753429844</v>
      </c>
      <c r="G314" s="279"/>
      <c r="H314" s="275">
        <f t="shared" si="31"/>
        <v>140.25342753429845</v>
      </c>
      <c r="I314" s="276"/>
      <c r="J314" s="277"/>
      <c r="K314" s="75">
        <f t="shared" si="36"/>
        <v>168.30411304115813</v>
      </c>
      <c r="L314" s="81" t="str">
        <f t="shared" si="32"/>
        <v>WIN</v>
      </c>
      <c r="M314" s="242">
        <f>IF(COUNTA($F$6:$F$10)=5,(F315-F24)/F24,"")</f>
        <v>0.4193646866471003</v>
      </c>
      <c r="N314" s="238">
        <f t="shared" si="33"/>
        <v>2</v>
      </c>
      <c r="O314" s="14" t="str">
        <f t="shared" si="34"/>
        <v>middle</v>
      </c>
      <c r="P314" s="14"/>
      <c r="Q314" s="14"/>
      <c r="R314" s="14"/>
      <c r="S314" s="14"/>
      <c r="T314" s="14"/>
      <c r="U314" s="14"/>
      <c r="V314" s="14"/>
      <c r="W314" s="39" t="str">
        <f>IF(AND(L314="WIN",L315&lt;&gt;"WIN"),SUMIF(L$24:L314,"WIN",K$24:K314)-SUM(W$23:W313),"")</f>
        <v/>
      </c>
      <c r="X314" s="41" t="str">
        <f>IF(AND(L314="LOSS",L315&lt;&gt;"LOSS"),SUMIF(L$24:L314,"LOSS",K$24:K314)-SUM(X$23:X313),"")</f>
        <v/>
      </c>
      <c r="Y314" s="8"/>
      <c r="Z314" s="85"/>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row>
    <row r="315" spans="1:53" ht="15.75">
      <c r="A315" s="149"/>
      <c r="B315" s="305" t="s">
        <v>359</v>
      </c>
      <c r="C315" s="306"/>
      <c r="D315" s="271">
        <v>21</v>
      </c>
      <c r="E315" s="272"/>
      <c r="F315" s="278">
        <f t="shared" si="35"/>
        <v>14193.646866471003</v>
      </c>
      <c r="G315" s="279"/>
      <c r="H315" s="275">
        <f t="shared" si="31"/>
        <v>141.93646866471002</v>
      </c>
      <c r="I315" s="276"/>
      <c r="J315" s="277"/>
      <c r="K315" s="75">
        <f t="shared" si="36"/>
        <v>170.32376239765202</v>
      </c>
      <c r="L315" s="81" t="str">
        <f t="shared" si="32"/>
        <v>WIN</v>
      </c>
      <c r="M315" s="242">
        <f>IF(COUNTA($F$6:$F$10)=5,(F316-F24)/F24,"")</f>
        <v>0.43639706288686558</v>
      </c>
      <c r="N315" s="238">
        <f t="shared" si="33"/>
        <v>3</v>
      </c>
      <c r="O315" s="14" t="str">
        <f t="shared" si="34"/>
        <v>last</v>
      </c>
      <c r="P315" s="14"/>
      <c r="Q315" s="14"/>
      <c r="R315" s="14"/>
      <c r="S315" s="14"/>
      <c r="T315" s="14"/>
      <c r="U315" s="14"/>
      <c r="V315" s="14"/>
      <c r="W315" s="39">
        <f>IF(AND(L315="WIN",L316&lt;&gt;"WIN"),SUMIF(L$24:L315,"WIN",K$24:K315)-SUM(W$23:W314),"")</f>
        <v>504.93628753481607</v>
      </c>
      <c r="X315" s="41" t="str">
        <f>IF(AND(L315="LOSS",L316&lt;&gt;"LOSS"),SUMIF(L$24:L315,"LOSS",K$24:K315)-SUM(X$23:X314),"")</f>
        <v/>
      </c>
      <c r="Y315" s="8"/>
      <c r="Z315" s="85"/>
      <c r="AA315" s="85"/>
      <c r="AB315" s="85"/>
      <c r="AC315" s="85"/>
      <c r="AD315" s="85"/>
      <c r="AE315" s="85"/>
      <c r="AF315" s="85"/>
      <c r="AG315" s="85"/>
      <c r="AH315" s="85"/>
      <c r="AI315" s="85"/>
      <c r="AJ315" s="85"/>
      <c r="AK315" s="85"/>
      <c r="AL315" s="85"/>
      <c r="AM315" s="85"/>
      <c r="AN315" s="85"/>
      <c r="AO315" s="85"/>
      <c r="AP315" s="85"/>
      <c r="AQ315" s="85"/>
      <c r="AR315" s="85"/>
      <c r="AS315" s="85"/>
      <c r="AT315" s="85"/>
      <c r="AU315" s="85"/>
      <c r="AV315" s="85"/>
      <c r="AW315" s="85"/>
      <c r="AX315" s="85"/>
      <c r="AY315" s="85"/>
      <c r="AZ315" s="85"/>
      <c r="BA315" s="85"/>
    </row>
    <row r="316" spans="1:53" ht="15.75">
      <c r="A316" s="149"/>
      <c r="B316" s="305" t="s">
        <v>360</v>
      </c>
      <c r="C316" s="306"/>
      <c r="D316" s="271">
        <v>81</v>
      </c>
      <c r="E316" s="272"/>
      <c r="F316" s="278">
        <f t="shared" si="35"/>
        <v>14363.970628868656</v>
      </c>
      <c r="G316" s="279"/>
      <c r="H316" s="275">
        <f t="shared" si="31"/>
        <v>143.63970628868657</v>
      </c>
      <c r="I316" s="276"/>
      <c r="J316" s="277"/>
      <c r="K316" s="75">
        <f t="shared" si="36"/>
        <v>-143.63970628868657</v>
      </c>
      <c r="L316" s="81" t="str">
        <f t="shared" si="32"/>
        <v>LOSS</v>
      </c>
      <c r="M316" s="242">
        <f>IF(COUNTA($F$6:$F$10)=5,(F317-F24)/F24,"")</f>
        <v>0.42203309225799696</v>
      </c>
      <c r="N316" s="238">
        <f t="shared" si="33"/>
        <v>1</v>
      </c>
      <c r="O316" s="14" t="str">
        <f t="shared" si="34"/>
        <v>new</v>
      </c>
      <c r="P316" s="14"/>
      <c r="Q316" s="14"/>
      <c r="R316" s="14"/>
      <c r="S316" s="14"/>
      <c r="T316" s="14"/>
      <c r="U316" s="14"/>
      <c r="V316" s="14"/>
      <c r="W316" s="39" t="str">
        <f>IF(AND(L316="WIN",L317&lt;&gt;"WIN"),SUMIF(L$24:L316,"WIN",K$24:K316)-SUM(W$23:W315),"")</f>
        <v/>
      </c>
      <c r="X316" s="41" t="str">
        <f>IF(AND(L316="LOSS",L317&lt;&gt;"LOSS"),SUMIF(L$24:L316,"LOSS",K$24:K316)-SUM(X$23:X315),"")</f>
        <v/>
      </c>
      <c r="Y316" s="8"/>
      <c r="Z316" s="85"/>
      <c r="AA316" s="85"/>
      <c r="AB316" s="85"/>
      <c r="AC316" s="85"/>
      <c r="AD316" s="85"/>
      <c r="AE316" s="85"/>
      <c r="AF316" s="85"/>
      <c r="AG316" s="85"/>
      <c r="AH316" s="85"/>
      <c r="AI316" s="85"/>
      <c r="AJ316" s="85"/>
      <c r="AK316" s="85"/>
      <c r="AL316" s="85"/>
      <c r="AM316" s="85"/>
      <c r="AN316" s="85"/>
      <c r="AO316" s="85"/>
      <c r="AP316" s="85"/>
      <c r="AQ316" s="85"/>
      <c r="AR316" s="85"/>
      <c r="AS316" s="85"/>
      <c r="AT316" s="85"/>
      <c r="AU316" s="85"/>
      <c r="AV316" s="85"/>
      <c r="AW316" s="85"/>
      <c r="AX316" s="85"/>
      <c r="AY316" s="85"/>
      <c r="AZ316" s="85"/>
      <c r="BA316" s="85"/>
    </row>
    <row r="317" spans="1:53" ht="15.75">
      <c r="A317" s="149"/>
      <c r="B317" s="305" t="s">
        <v>361</v>
      </c>
      <c r="C317" s="306"/>
      <c r="D317" s="271">
        <v>73</v>
      </c>
      <c r="E317" s="272"/>
      <c r="F317" s="278">
        <f t="shared" si="35"/>
        <v>14220.330922579969</v>
      </c>
      <c r="G317" s="279"/>
      <c r="H317" s="275">
        <f t="shared" si="31"/>
        <v>142.2033092257997</v>
      </c>
      <c r="I317" s="276"/>
      <c r="J317" s="277"/>
      <c r="K317" s="75">
        <f t="shared" si="36"/>
        <v>-142.2033092257997</v>
      </c>
      <c r="L317" s="81" t="str">
        <f t="shared" si="32"/>
        <v>LOSS</v>
      </c>
      <c r="M317" s="242">
        <f>IF(COUNTA($F$6:$F$10)=5,(F318-F24)/F24,"")</f>
        <v>0.40781276133541688</v>
      </c>
      <c r="N317" s="238">
        <f t="shared" si="33"/>
        <v>2</v>
      </c>
      <c r="O317" s="14" t="str">
        <f t="shared" si="34"/>
        <v>last</v>
      </c>
      <c r="P317" s="14"/>
      <c r="Q317" s="14"/>
      <c r="R317" s="14"/>
      <c r="S317" s="14"/>
      <c r="T317" s="14"/>
      <c r="U317" s="14"/>
      <c r="V317" s="14"/>
      <c r="W317" s="39" t="str">
        <f>IF(AND(L317="WIN",L318&lt;&gt;"WIN"),SUMIF(L$24:L317,"WIN",K$24:K317)-SUM(W$23:W316),"")</f>
        <v/>
      </c>
      <c r="X317" s="41">
        <f>IF(AND(L317="LOSS",L318&lt;&gt;"LOSS"),SUMIF(L$24:L317,"LOSS",K$24:K317)-SUM(X$23:X316),"")</f>
        <v>-285.84301551448516</v>
      </c>
      <c r="Y317" s="8"/>
      <c r="Z317" s="85"/>
      <c r="AA317" s="85"/>
      <c r="AB317" s="85"/>
      <c r="AC317" s="85"/>
      <c r="AD317" s="85"/>
      <c r="AE317" s="85"/>
      <c r="AF317" s="85"/>
      <c r="AG317" s="85"/>
      <c r="AH317" s="85"/>
      <c r="AI317" s="85"/>
      <c r="AJ317" s="85"/>
      <c r="AK317" s="85"/>
      <c r="AL317" s="85"/>
      <c r="AM317" s="85"/>
      <c r="AN317" s="85"/>
      <c r="AO317" s="85"/>
      <c r="AP317" s="85"/>
      <c r="AQ317" s="85"/>
      <c r="AR317" s="85"/>
      <c r="AS317" s="85"/>
      <c r="AT317" s="85"/>
      <c r="AU317" s="85"/>
      <c r="AV317" s="85"/>
      <c r="AW317" s="85"/>
      <c r="AX317" s="85"/>
      <c r="AY317" s="85"/>
      <c r="AZ317" s="85"/>
      <c r="BA317" s="85"/>
    </row>
    <row r="318" spans="1:53" ht="15.75">
      <c r="A318" s="149"/>
      <c r="B318" s="305" t="s">
        <v>362</v>
      </c>
      <c r="C318" s="306"/>
      <c r="D318" s="271">
        <v>53</v>
      </c>
      <c r="E318" s="272"/>
      <c r="F318" s="278">
        <f t="shared" si="35"/>
        <v>14078.127613354169</v>
      </c>
      <c r="G318" s="279"/>
      <c r="H318" s="275">
        <f t="shared" si="31"/>
        <v>140.7812761335417</v>
      </c>
      <c r="I318" s="276"/>
      <c r="J318" s="277"/>
      <c r="K318" s="75">
        <f t="shared" si="36"/>
        <v>168.93753136025003</v>
      </c>
      <c r="L318" s="81" t="str">
        <f t="shared" si="32"/>
        <v>WIN</v>
      </c>
      <c r="M318" s="242">
        <f>IF(COUNTA($F$6:$F$10)=5,(F319-F24)/F24,"")</f>
        <v>0.42470651447144192</v>
      </c>
      <c r="N318" s="238">
        <f t="shared" si="33"/>
        <v>1</v>
      </c>
      <c r="O318" s="14" t="str">
        <f t="shared" si="34"/>
        <v>new</v>
      </c>
      <c r="P318" s="14"/>
      <c r="Q318" s="14"/>
      <c r="R318" s="14"/>
      <c r="S318" s="14"/>
      <c r="T318" s="14"/>
      <c r="U318" s="14"/>
      <c r="V318" s="14"/>
      <c r="W318" s="39" t="str">
        <f>IF(AND(L318="WIN",L319&lt;&gt;"WIN"),SUMIF(L$24:L318,"WIN",K$24:K318)-SUM(W$23:W317),"")</f>
        <v/>
      </c>
      <c r="X318" s="41" t="str">
        <f>IF(AND(L318="LOSS",L319&lt;&gt;"LOSS"),SUMIF(L$24:L318,"LOSS",K$24:K318)-SUM(X$23:X317),"")</f>
        <v/>
      </c>
      <c r="Y318" s="8"/>
      <c r="Z318" s="85"/>
      <c r="AA318" s="85"/>
      <c r="AB318" s="85"/>
      <c r="AC318" s="85"/>
      <c r="AD318" s="85"/>
      <c r="AE318" s="85"/>
      <c r="AF318" s="85"/>
      <c r="AG318" s="85"/>
      <c r="AH318" s="85"/>
      <c r="AI318" s="85"/>
      <c r="AJ318" s="85"/>
      <c r="AK318" s="85"/>
      <c r="AL318" s="85"/>
      <c r="AM318" s="85"/>
      <c r="AN318" s="85"/>
      <c r="AO318" s="85"/>
      <c r="AP318" s="85"/>
      <c r="AQ318" s="85"/>
      <c r="AR318" s="85"/>
      <c r="AS318" s="85"/>
      <c r="AT318" s="85"/>
      <c r="AU318" s="85"/>
      <c r="AV318" s="85"/>
      <c r="AW318" s="85"/>
      <c r="AX318" s="85"/>
      <c r="AY318" s="85"/>
      <c r="AZ318" s="85"/>
      <c r="BA318" s="85"/>
    </row>
    <row r="319" spans="1:53" ht="15.75">
      <c r="A319" s="149"/>
      <c r="B319" s="305" t="s">
        <v>363</v>
      </c>
      <c r="C319" s="306"/>
      <c r="D319" s="271">
        <v>23</v>
      </c>
      <c r="E319" s="272"/>
      <c r="F319" s="278">
        <f t="shared" si="35"/>
        <v>14247.065144714419</v>
      </c>
      <c r="G319" s="279"/>
      <c r="H319" s="275">
        <f t="shared" si="31"/>
        <v>142.47065144714421</v>
      </c>
      <c r="I319" s="276"/>
      <c r="J319" s="277"/>
      <c r="K319" s="75">
        <f t="shared" si="36"/>
        <v>170.96478173657303</v>
      </c>
      <c r="L319" s="81" t="str">
        <f t="shared" si="32"/>
        <v>WIN</v>
      </c>
      <c r="M319" s="242">
        <f>IF(COUNTA($F$6:$F$10)=5,(F320-F24)/F24,"")</f>
        <v>0.4418029926450992</v>
      </c>
      <c r="N319" s="238">
        <f t="shared" si="33"/>
        <v>2</v>
      </c>
      <c r="O319" s="14" t="str">
        <f t="shared" si="34"/>
        <v>middle</v>
      </c>
      <c r="P319" s="14"/>
      <c r="Q319" s="14"/>
      <c r="R319" s="14"/>
      <c r="S319" s="14"/>
      <c r="T319" s="14"/>
      <c r="U319" s="14"/>
      <c r="V319" s="14"/>
      <c r="W319" s="39" t="str">
        <f>IF(AND(L319="WIN",L320&lt;&gt;"WIN"),SUMIF(L$24:L319,"WIN",K$24:K319)-SUM(W$23:W318),"")</f>
        <v/>
      </c>
      <c r="X319" s="41" t="str">
        <f>IF(AND(L319="LOSS",L320&lt;&gt;"LOSS"),SUMIF(L$24:L319,"LOSS",K$24:K319)-SUM(X$23:X318),"")</f>
        <v/>
      </c>
      <c r="Y319" s="8"/>
      <c r="Z319" s="85"/>
      <c r="AA319" s="85"/>
      <c r="AB319" s="85"/>
      <c r="AC319" s="85"/>
      <c r="AD319" s="85"/>
      <c r="AE319" s="85"/>
      <c r="AF319" s="85"/>
      <c r="AG319" s="85"/>
      <c r="AH319" s="85"/>
      <c r="AI319" s="85"/>
      <c r="AJ319" s="85"/>
      <c r="AK319" s="85"/>
      <c r="AL319" s="85"/>
      <c r="AM319" s="85"/>
      <c r="AN319" s="85"/>
      <c r="AO319" s="85"/>
      <c r="AP319" s="85"/>
      <c r="AQ319" s="85"/>
      <c r="AR319" s="85"/>
      <c r="AS319" s="85"/>
      <c r="AT319" s="85"/>
      <c r="AU319" s="85"/>
      <c r="AV319" s="85"/>
      <c r="AW319" s="85"/>
      <c r="AX319" s="85"/>
      <c r="AY319" s="85"/>
      <c r="AZ319" s="85"/>
      <c r="BA319" s="85"/>
    </row>
    <row r="320" spans="1:53" ht="15.75">
      <c r="A320" s="149"/>
      <c r="B320" s="305" t="s">
        <v>364</v>
      </c>
      <c r="C320" s="306"/>
      <c r="D320" s="271">
        <v>4</v>
      </c>
      <c r="E320" s="272"/>
      <c r="F320" s="278">
        <f t="shared" si="35"/>
        <v>14418.029926450992</v>
      </c>
      <c r="G320" s="279"/>
      <c r="H320" s="275">
        <f t="shared" si="31"/>
        <v>144.18029926450993</v>
      </c>
      <c r="I320" s="276"/>
      <c r="J320" s="277"/>
      <c r="K320" s="75">
        <f t="shared" si="36"/>
        <v>173.01635911741189</v>
      </c>
      <c r="L320" s="81" t="str">
        <f t="shared" si="32"/>
        <v>WIN</v>
      </c>
      <c r="M320" s="242">
        <f>IF(COUNTA($F$6:$F$10)=5,(F321-F24)/F24,"")</f>
        <v>0.45910462855684037</v>
      </c>
      <c r="N320" s="238">
        <f t="shared" si="33"/>
        <v>3</v>
      </c>
      <c r="O320" s="14" t="str">
        <f t="shared" si="34"/>
        <v>middle</v>
      </c>
      <c r="P320" s="14"/>
      <c r="Q320" s="14"/>
      <c r="R320" s="14"/>
      <c r="S320" s="14"/>
      <c r="T320" s="14"/>
      <c r="U320" s="14"/>
      <c r="V320" s="14"/>
      <c r="W320" s="39" t="str">
        <f>IF(AND(L320="WIN",L321&lt;&gt;"WIN"),SUMIF(L$24:L320,"WIN",K$24:K320)-SUM(W$23:W319),"")</f>
        <v/>
      </c>
      <c r="X320" s="41" t="str">
        <f>IF(AND(L320="LOSS",L321&lt;&gt;"LOSS"),SUMIF(L$24:L320,"LOSS",K$24:K320)-SUM(X$23:X319),"")</f>
        <v/>
      </c>
      <c r="Y320" s="8"/>
      <c r="Z320" s="85"/>
      <c r="AA320" s="85"/>
      <c r="AB320" s="85"/>
      <c r="AC320" s="85"/>
      <c r="AD320" s="85"/>
      <c r="AE320" s="85"/>
      <c r="AF320" s="85"/>
      <c r="AG320" s="85"/>
      <c r="AH320" s="85"/>
      <c r="AI320" s="85"/>
      <c r="AJ320" s="85"/>
      <c r="AK320" s="85"/>
      <c r="AL320" s="85"/>
      <c r="AM320" s="85"/>
      <c r="AN320" s="85"/>
      <c r="AO320" s="85"/>
      <c r="AP320" s="85"/>
      <c r="AQ320" s="85"/>
      <c r="AR320" s="85"/>
      <c r="AS320" s="85"/>
      <c r="AT320" s="85"/>
      <c r="AU320" s="85"/>
      <c r="AV320" s="85"/>
      <c r="AW320" s="85"/>
      <c r="AX320" s="85"/>
      <c r="AY320" s="85"/>
      <c r="AZ320" s="85"/>
      <c r="BA320" s="85"/>
    </row>
    <row r="321" spans="1:53" ht="15.75">
      <c r="A321" s="149"/>
      <c r="B321" s="305" t="s">
        <v>365</v>
      </c>
      <c r="C321" s="306"/>
      <c r="D321" s="271">
        <v>35</v>
      </c>
      <c r="E321" s="272"/>
      <c r="F321" s="278">
        <f t="shared" si="35"/>
        <v>14591.046285568404</v>
      </c>
      <c r="G321" s="279"/>
      <c r="H321" s="275">
        <f t="shared" si="31"/>
        <v>145.91046285568405</v>
      </c>
      <c r="I321" s="276"/>
      <c r="J321" s="277"/>
      <c r="K321" s="75">
        <f t="shared" si="36"/>
        <v>175.09255542682084</v>
      </c>
      <c r="L321" s="81" t="str">
        <f t="shared" si="32"/>
        <v>WIN</v>
      </c>
      <c r="M321" s="242">
        <f>IF(COUNTA($F$6:$F$10)=5,(F322-F24)/F24,"")</f>
        <v>0.47661388409952249</v>
      </c>
      <c r="N321" s="238">
        <f t="shared" si="33"/>
        <v>4</v>
      </c>
      <c r="O321" s="14" t="str">
        <f t="shared" si="34"/>
        <v>middle</v>
      </c>
      <c r="P321" s="14"/>
      <c r="Q321" s="14"/>
      <c r="R321" s="14"/>
      <c r="S321" s="14"/>
      <c r="T321" s="14"/>
      <c r="U321" s="14"/>
      <c r="V321" s="14"/>
      <c r="W321" s="39" t="str">
        <f>IF(AND(L321="WIN",L322&lt;&gt;"WIN"),SUMIF(L$24:L321,"WIN",K$24:K321)-SUM(W$23:W320),"")</f>
        <v/>
      </c>
      <c r="X321" s="41" t="str">
        <f>IF(AND(L321="LOSS",L322&lt;&gt;"LOSS"),SUMIF(L$24:L321,"LOSS",K$24:K321)-SUM(X$23:X320),"")</f>
        <v/>
      </c>
      <c r="Y321" s="8"/>
      <c r="Z321" s="85"/>
      <c r="AA321" s="85"/>
      <c r="AB321" s="85"/>
      <c r="AC321" s="85"/>
      <c r="AD321" s="85"/>
      <c r="AE321" s="85"/>
      <c r="AF321" s="85"/>
      <c r="AG321" s="85"/>
      <c r="AH321" s="85"/>
      <c r="AI321" s="85"/>
      <c r="AJ321" s="85"/>
      <c r="AK321" s="85"/>
      <c r="AL321" s="85"/>
      <c r="AM321" s="85"/>
      <c r="AN321" s="85"/>
      <c r="AO321" s="85"/>
      <c r="AP321" s="85"/>
      <c r="AQ321" s="85"/>
      <c r="AR321" s="85"/>
      <c r="AS321" s="85"/>
      <c r="AT321" s="85"/>
      <c r="AU321" s="85"/>
      <c r="AV321" s="85"/>
      <c r="AW321" s="85"/>
      <c r="AX321" s="85"/>
      <c r="AY321" s="85"/>
      <c r="AZ321" s="85"/>
      <c r="BA321" s="85"/>
    </row>
    <row r="322" spans="1:53" ht="16.5" thickBot="1">
      <c r="A322" s="149"/>
      <c r="B322" s="400" t="s">
        <v>366</v>
      </c>
      <c r="C322" s="401"/>
      <c r="D322" s="415">
        <v>35</v>
      </c>
      <c r="E322" s="416"/>
      <c r="F322" s="469">
        <f t="shared" si="35"/>
        <v>14766.138840995225</v>
      </c>
      <c r="G322" s="470"/>
      <c r="H322" s="390">
        <f t="shared" si="31"/>
        <v>147.66138840995225</v>
      </c>
      <c r="I322" s="391"/>
      <c r="J322" s="392"/>
      <c r="K322" s="76">
        <f t="shared" si="36"/>
        <v>177.1936660919427</v>
      </c>
      <c r="L322" s="82" t="str">
        <f t="shared" si="32"/>
        <v>WIN</v>
      </c>
      <c r="M322" s="243">
        <f>IF(COUNTA($F$6:$F$10)=5,(F323-F24)/F24,"")</f>
        <v>0.49433325070871686</v>
      </c>
      <c r="N322" s="238">
        <f t="shared" si="33"/>
        <v>5</v>
      </c>
      <c r="O322" s="14" t="str">
        <f t="shared" si="34"/>
        <v>middle</v>
      </c>
      <c r="P322" s="14"/>
      <c r="Q322" s="14"/>
      <c r="R322" s="14"/>
      <c r="S322" s="14"/>
      <c r="T322" s="14"/>
      <c r="U322" s="14"/>
      <c r="V322" s="14"/>
      <c r="W322" s="39" t="str">
        <f>IF(AND(L322="WIN",L323&lt;&gt;"WIN"),SUMIF(L$24:L322,"WIN",K$24:K322)-SUM(W$23:W321),"")</f>
        <v/>
      </c>
      <c r="X322" s="41" t="str">
        <f>IF(AND(L322="LOSS",L323&lt;&gt;"LOSS"),SUMIF(L$24:L322,"LOSS",K$24:K322)-SUM(X$23:X321),"")</f>
        <v/>
      </c>
      <c r="Y322" s="8"/>
      <c r="Z322" s="85"/>
      <c r="AA322" s="85"/>
      <c r="AB322" s="85"/>
      <c r="AC322" s="85"/>
      <c r="AD322" s="85"/>
      <c r="AE322" s="85"/>
      <c r="AF322" s="85"/>
      <c r="AG322" s="85"/>
      <c r="AH322" s="85"/>
      <c r="AI322" s="85"/>
      <c r="AJ322" s="85"/>
      <c r="AK322" s="85"/>
      <c r="AL322" s="85"/>
      <c r="AM322" s="85"/>
      <c r="AN322" s="85"/>
      <c r="AO322" s="85"/>
      <c r="AP322" s="85"/>
      <c r="AQ322" s="85"/>
      <c r="AR322" s="85"/>
      <c r="AS322" s="85"/>
      <c r="AT322" s="85"/>
      <c r="AU322" s="85"/>
      <c r="AV322" s="85"/>
      <c r="AW322" s="85"/>
      <c r="AX322" s="85"/>
      <c r="AY322" s="85"/>
      <c r="AZ322" s="85"/>
      <c r="BA322" s="85"/>
    </row>
    <row r="323" spans="1:53" ht="17.25" thickTop="1" thickBot="1">
      <c r="A323" s="149"/>
      <c r="B323" s="406" t="s">
        <v>367</v>
      </c>
      <c r="C323" s="407"/>
      <c r="D323" s="417">
        <v>40</v>
      </c>
      <c r="E323" s="418"/>
      <c r="F323" s="471">
        <f t="shared" si="35"/>
        <v>14943.332507087169</v>
      </c>
      <c r="G323" s="472"/>
      <c r="H323" s="426">
        <f t="shared" si="31"/>
        <v>149.43332507087169</v>
      </c>
      <c r="I323" s="427"/>
      <c r="J323" s="428"/>
      <c r="K323" s="84">
        <f t="shared" si="36"/>
        <v>179.31999008504602</v>
      </c>
      <c r="L323" s="78" t="str">
        <f t="shared" si="32"/>
        <v>WIN</v>
      </c>
      <c r="M323" s="244">
        <f>IF(COUNTA($F$6:$F$10)=5,(F324-F24)/F24,"")</f>
        <v>0.51226524971722154</v>
      </c>
      <c r="N323" s="238">
        <f t="shared" si="33"/>
        <v>6</v>
      </c>
      <c r="O323" s="14" t="str">
        <f t="shared" si="34"/>
        <v>middle</v>
      </c>
      <c r="P323" s="14"/>
      <c r="Q323" s="14"/>
      <c r="R323" s="14"/>
      <c r="S323" s="14"/>
      <c r="T323" s="14"/>
      <c r="U323" s="14"/>
      <c r="V323" s="14"/>
      <c r="W323" s="39" t="str">
        <f>IF(AND(L323="WIN",L324&lt;&gt;"WIN"),SUMIF(L$24:L323,"WIN",K$24:K323)-SUM(W$23:W322),"")</f>
        <v/>
      </c>
      <c r="X323" s="41" t="str">
        <f>IF(AND(L323="LOSS",L324&lt;&gt;"LOSS"),SUMIF(L$24:L323,"LOSS",K$24:K323)-SUM(X$23:X322),"")</f>
        <v/>
      </c>
      <c r="Y323" s="8"/>
      <c r="Z323" s="85"/>
      <c r="AA323" s="85"/>
      <c r="AB323" s="85"/>
      <c r="AC323" s="85"/>
      <c r="AD323" s="85"/>
      <c r="AE323" s="85"/>
      <c r="AF323" s="85"/>
      <c r="AG323" s="85"/>
      <c r="AH323" s="85"/>
      <c r="AI323" s="85"/>
      <c r="AJ323" s="85"/>
      <c r="AK323" s="85"/>
      <c r="AL323" s="85"/>
      <c r="AM323" s="85"/>
      <c r="AN323" s="85"/>
      <c r="AO323" s="85"/>
      <c r="AP323" s="85"/>
      <c r="AQ323" s="85"/>
      <c r="AR323" s="85"/>
      <c r="AS323" s="85"/>
      <c r="AT323" s="85"/>
      <c r="AU323" s="85"/>
      <c r="AV323" s="85"/>
      <c r="AW323" s="85"/>
      <c r="AX323" s="85"/>
      <c r="AY323" s="85"/>
      <c r="AZ323" s="85"/>
      <c r="BA323" s="85"/>
    </row>
    <row r="324" spans="1:53" ht="16.5" thickTop="1">
      <c r="A324" s="149"/>
      <c r="B324" s="408" t="s">
        <v>368</v>
      </c>
      <c r="C324" s="409"/>
      <c r="D324" s="419">
        <v>34</v>
      </c>
      <c r="E324" s="420"/>
      <c r="F324" s="473">
        <f t="shared" si="35"/>
        <v>15122.652497172216</v>
      </c>
      <c r="G324" s="474"/>
      <c r="H324" s="429">
        <f t="shared" si="31"/>
        <v>151.22652497172217</v>
      </c>
      <c r="I324" s="430"/>
      <c r="J324" s="431"/>
      <c r="K324" s="77">
        <f t="shared" si="36"/>
        <v>181.47182996606659</v>
      </c>
      <c r="L324" s="81" t="str">
        <f t="shared" si="32"/>
        <v>WIN</v>
      </c>
      <c r="M324" s="242">
        <f>IF(COUNTA($F$6:$F$10)=5,(F325-F24)/F24,"")</f>
        <v>0.53041243271382832</v>
      </c>
      <c r="N324" s="238">
        <f t="shared" si="33"/>
        <v>7</v>
      </c>
      <c r="O324" s="14" t="str">
        <f t="shared" si="34"/>
        <v>middle</v>
      </c>
      <c r="P324" s="14"/>
      <c r="Q324" s="14"/>
      <c r="R324" s="14"/>
      <c r="S324" s="14"/>
      <c r="T324" s="14"/>
      <c r="U324" s="14"/>
      <c r="V324" s="14"/>
      <c r="W324" s="39" t="str">
        <f>IF(AND(L324="WIN",L325&lt;&gt;"WIN"),SUMIF(L$24:L324,"WIN",K$24:K324)-SUM(W$23:W323),"")</f>
        <v/>
      </c>
      <c r="X324" s="41" t="str">
        <f>IF(AND(L324="LOSS",L325&lt;&gt;"LOSS"),SUMIF(L$24:L324,"LOSS",K$24:K324)-SUM(X$23:X323),"")</f>
        <v/>
      </c>
      <c r="Y324" s="8"/>
      <c r="Z324" s="85"/>
      <c r="AA324" s="85"/>
      <c r="AB324" s="85"/>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c r="AZ324" s="85"/>
      <c r="BA324" s="85"/>
    </row>
    <row r="325" spans="1:53" ht="15.75">
      <c r="A325" s="149"/>
      <c r="B325" s="305" t="s">
        <v>369</v>
      </c>
      <c r="C325" s="306"/>
      <c r="D325" s="271">
        <v>16</v>
      </c>
      <c r="E325" s="272"/>
      <c r="F325" s="278">
        <f t="shared" si="35"/>
        <v>15304.124327138283</v>
      </c>
      <c r="G325" s="279"/>
      <c r="H325" s="275">
        <f t="shared" si="31"/>
        <v>153.04124327138283</v>
      </c>
      <c r="I325" s="276"/>
      <c r="J325" s="277"/>
      <c r="K325" s="75">
        <f t="shared" si="36"/>
        <v>183.64949192565939</v>
      </c>
      <c r="L325" s="81" t="str">
        <f t="shared" si="32"/>
        <v>WIN</v>
      </c>
      <c r="M325" s="242">
        <f>IF(COUNTA($F$6:$F$10)=5,(F326-F24)/F24,"")</f>
        <v>0.54877738190639425</v>
      </c>
      <c r="N325" s="238">
        <f t="shared" si="33"/>
        <v>8</v>
      </c>
      <c r="O325" s="14" t="str">
        <f t="shared" si="34"/>
        <v>middle</v>
      </c>
      <c r="P325" s="14"/>
      <c r="Q325" s="14"/>
      <c r="R325" s="14"/>
      <c r="S325" s="14"/>
      <c r="T325" s="14"/>
      <c r="U325" s="14"/>
      <c r="V325" s="14"/>
      <c r="W325" s="39" t="str">
        <f>IF(AND(L325="WIN",L326&lt;&gt;"WIN"),SUMIF(L$24:L325,"WIN",K$24:K325)-SUM(W$23:W324),"")</f>
        <v/>
      </c>
      <c r="X325" s="41" t="str">
        <f>IF(AND(L325="LOSS",L326&lt;&gt;"LOSS"),SUMIF(L$24:L325,"LOSS",K$24:K325)-SUM(X$23:X324),"")</f>
        <v/>
      </c>
      <c r="Y325" s="8"/>
      <c r="Z325" s="85"/>
      <c r="AA325" s="85"/>
      <c r="AB325" s="85"/>
      <c r="AC325" s="85"/>
      <c r="AD325" s="85"/>
      <c r="AE325" s="85"/>
      <c r="AF325" s="85"/>
      <c r="AG325" s="85"/>
      <c r="AH325" s="85"/>
      <c r="AI325" s="85"/>
      <c r="AJ325" s="85"/>
      <c r="AK325" s="85"/>
      <c r="AL325" s="85"/>
      <c r="AM325" s="85"/>
      <c r="AN325" s="85"/>
      <c r="AO325" s="85"/>
      <c r="AP325" s="85"/>
      <c r="AQ325" s="85"/>
      <c r="AR325" s="85"/>
      <c r="AS325" s="85"/>
      <c r="AT325" s="85"/>
      <c r="AU325" s="85"/>
      <c r="AV325" s="85"/>
      <c r="AW325" s="85"/>
      <c r="AX325" s="85"/>
      <c r="AY325" s="85"/>
      <c r="AZ325" s="85"/>
      <c r="BA325" s="85"/>
    </row>
    <row r="326" spans="1:53" ht="15.75">
      <c r="A326" s="149"/>
      <c r="B326" s="305" t="s">
        <v>370</v>
      </c>
      <c r="C326" s="306"/>
      <c r="D326" s="271">
        <v>1</v>
      </c>
      <c r="E326" s="272"/>
      <c r="F326" s="278">
        <f t="shared" si="35"/>
        <v>15487.773819063943</v>
      </c>
      <c r="G326" s="279"/>
      <c r="H326" s="275">
        <f t="shared" si="31"/>
        <v>154.87773819063943</v>
      </c>
      <c r="I326" s="276"/>
      <c r="J326" s="277"/>
      <c r="K326" s="75">
        <f t="shared" si="36"/>
        <v>185.85328582876733</v>
      </c>
      <c r="L326" s="81" t="str">
        <f t="shared" si="32"/>
        <v>WIN</v>
      </c>
      <c r="M326" s="242">
        <f>IF(COUNTA($F$6:$F$10)=5,(F327-F24)/F24,"")</f>
        <v>0.567362710489271</v>
      </c>
      <c r="N326" s="238">
        <f t="shared" si="33"/>
        <v>9</v>
      </c>
      <c r="O326" s="14" t="str">
        <f t="shared" si="34"/>
        <v>last</v>
      </c>
      <c r="P326" s="14"/>
      <c r="Q326" s="14"/>
      <c r="R326" s="14"/>
      <c r="S326" s="14"/>
      <c r="T326" s="14"/>
      <c r="U326" s="14"/>
      <c r="V326" s="14"/>
      <c r="W326" s="39">
        <f>IF(AND(L326="WIN",L327&lt;&gt;"WIN"),SUMIF(L$24:L326,"WIN",K$24:K326)-SUM(W$23:W325),"")</f>
        <v>1595.4994915385396</v>
      </c>
      <c r="X326" s="41" t="str">
        <f>IF(AND(L326="LOSS",L327&lt;&gt;"LOSS"),SUMIF(L$24:L326,"LOSS",K$24:K326)-SUM(X$23:X325),"")</f>
        <v/>
      </c>
      <c r="Y326" s="8"/>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row>
    <row r="327" spans="1:53" ht="15.75">
      <c r="A327" s="149"/>
      <c r="B327" s="305" t="s">
        <v>371</v>
      </c>
      <c r="C327" s="306"/>
      <c r="D327" s="271">
        <v>55</v>
      </c>
      <c r="E327" s="272"/>
      <c r="F327" s="278">
        <f t="shared" si="35"/>
        <v>15673.62710489271</v>
      </c>
      <c r="G327" s="279"/>
      <c r="H327" s="275">
        <f t="shared" si="31"/>
        <v>156.73627104892711</v>
      </c>
      <c r="I327" s="276"/>
      <c r="J327" s="277"/>
      <c r="K327" s="75">
        <f t="shared" si="36"/>
        <v>-156.73627104892711</v>
      </c>
      <c r="L327" s="81" t="str">
        <f t="shared" si="32"/>
        <v>LOSS</v>
      </c>
      <c r="M327" s="242">
        <f>IF(COUNTA($F$6:$F$10)=5,(F328-F24)/F24,"")</f>
        <v>0.55168908338437828</v>
      </c>
      <c r="N327" s="238">
        <f t="shared" si="33"/>
        <v>1</v>
      </c>
      <c r="O327" s="14" t="str">
        <f t="shared" si="34"/>
        <v>last</v>
      </c>
      <c r="P327" s="14"/>
      <c r="Q327" s="14"/>
      <c r="R327" s="14"/>
      <c r="S327" s="14"/>
      <c r="T327" s="14"/>
      <c r="U327" s="14"/>
      <c r="V327" s="14"/>
      <c r="W327" s="39" t="str">
        <f>IF(AND(L327="WIN",L328&lt;&gt;"WIN"),SUMIF(L$24:L327,"WIN",K$24:K327)-SUM(W$23:W326),"")</f>
        <v/>
      </c>
      <c r="X327" s="41">
        <f>IF(AND(L327="LOSS",L328&lt;&gt;"LOSS"),SUMIF(L$24:L327,"LOSS",K$24:K327)-SUM(X$23:X326),"")</f>
        <v>-156.73627104892876</v>
      </c>
      <c r="Y327" s="8"/>
      <c r="Z327" s="85"/>
      <c r="AA327" s="85"/>
      <c r="AB327" s="85"/>
      <c r="AC327" s="85"/>
      <c r="AD327" s="85"/>
      <c r="AE327" s="85"/>
      <c r="AF327" s="85"/>
      <c r="AG327" s="85"/>
      <c r="AH327" s="85"/>
      <c r="AI327" s="85"/>
      <c r="AJ327" s="85"/>
      <c r="AK327" s="85"/>
      <c r="AL327" s="85"/>
      <c r="AM327" s="85"/>
      <c r="AN327" s="85"/>
      <c r="AO327" s="85"/>
      <c r="AP327" s="85"/>
      <c r="AQ327" s="85"/>
      <c r="AR327" s="85"/>
      <c r="AS327" s="85"/>
      <c r="AT327" s="85"/>
      <c r="AU327" s="85"/>
      <c r="AV327" s="85"/>
      <c r="AW327" s="85"/>
      <c r="AX327" s="85"/>
      <c r="AY327" s="85"/>
      <c r="AZ327" s="85"/>
      <c r="BA327" s="85"/>
    </row>
    <row r="328" spans="1:53" ht="15.75">
      <c r="A328" s="149"/>
      <c r="B328" s="305" t="s">
        <v>372</v>
      </c>
      <c r="C328" s="306"/>
      <c r="D328" s="271">
        <v>42</v>
      </c>
      <c r="E328" s="272"/>
      <c r="F328" s="278">
        <f t="shared" si="35"/>
        <v>15516.890833843783</v>
      </c>
      <c r="G328" s="279"/>
      <c r="H328" s="275">
        <f t="shared" si="31"/>
        <v>155.16890833843783</v>
      </c>
      <c r="I328" s="276"/>
      <c r="J328" s="277"/>
      <c r="K328" s="75">
        <f t="shared" si="36"/>
        <v>186.20269000612538</v>
      </c>
      <c r="L328" s="81" t="str">
        <f t="shared" si="32"/>
        <v>WIN</v>
      </c>
      <c r="M328" s="242">
        <f>IF(COUNTA($F$6:$F$10)=5,(F329-F24)/F24,"")</f>
        <v>0.57030935238499092</v>
      </c>
      <c r="N328" s="238">
        <f t="shared" si="33"/>
        <v>1</v>
      </c>
      <c r="O328" s="14" t="str">
        <f t="shared" si="34"/>
        <v>new</v>
      </c>
      <c r="P328" s="14"/>
      <c r="Q328" s="14"/>
      <c r="R328" s="14"/>
      <c r="S328" s="14"/>
      <c r="T328" s="14"/>
      <c r="U328" s="14"/>
      <c r="V328" s="14"/>
      <c r="W328" s="39" t="str">
        <f>IF(AND(L328="WIN",L329&lt;&gt;"WIN"),SUMIF(L$24:L328,"WIN",K$24:K328)-SUM(W$23:W327),"")</f>
        <v/>
      </c>
      <c r="X328" s="41" t="str">
        <f>IF(AND(L328="LOSS",L329&lt;&gt;"LOSS"),SUMIF(L$24:L328,"LOSS",K$24:K328)-SUM(X$23:X327),"")</f>
        <v/>
      </c>
      <c r="Y328" s="8"/>
      <c r="Z328" s="85"/>
      <c r="AA328" s="85"/>
      <c r="AB328" s="85"/>
      <c r="AC328" s="85"/>
      <c r="AD328" s="85"/>
      <c r="AE328" s="85"/>
      <c r="AF328" s="85"/>
      <c r="AG328" s="85"/>
      <c r="AH328" s="85"/>
      <c r="AI328" s="85"/>
      <c r="AJ328" s="85"/>
      <c r="AK328" s="85"/>
      <c r="AL328" s="85"/>
      <c r="AM328" s="85"/>
      <c r="AN328" s="85"/>
      <c r="AO328" s="85"/>
      <c r="AP328" s="85"/>
      <c r="AQ328" s="85"/>
      <c r="AR328" s="85"/>
      <c r="AS328" s="85"/>
      <c r="AT328" s="85"/>
      <c r="AU328" s="85"/>
      <c r="AV328" s="85"/>
      <c r="AW328" s="85"/>
      <c r="AX328" s="85"/>
      <c r="AY328" s="85"/>
      <c r="AZ328" s="85"/>
      <c r="BA328" s="85"/>
    </row>
    <row r="329" spans="1:53" ht="15.75">
      <c r="A329" s="149"/>
      <c r="B329" s="305" t="s">
        <v>373</v>
      </c>
      <c r="C329" s="306"/>
      <c r="D329" s="271">
        <v>45</v>
      </c>
      <c r="E329" s="272"/>
      <c r="F329" s="278">
        <f t="shared" si="35"/>
        <v>15703.09352384991</v>
      </c>
      <c r="G329" s="279"/>
      <c r="H329" s="275">
        <f t="shared" si="31"/>
        <v>157.0309352384991</v>
      </c>
      <c r="I329" s="276"/>
      <c r="J329" s="277"/>
      <c r="K329" s="75">
        <f t="shared" si="36"/>
        <v>188.4371222861989</v>
      </c>
      <c r="L329" s="81" t="str">
        <f t="shared" si="32"/>
        <v>WIN</v>
      </c>
      <c r="M329" s="242">
        <f>IF(COUNTA($F$6:$F$10)=5,(F330-F24)/F24,"")</f>
        <v>0.58915306461361083</v>
      </c>
      <c r="N329" s="238">
        <f t="shared" si="33"/>
        <v>2</v>
      </c>
      <c r="O329" s="14" t="str">
        <f t="shared" si="34"/>
        <v>last</v>
      </c>
      <c r="P329" s="14"/>
      <c r="Q329" s="14"/>
      <c r="R329" s="14"/>
      <c r="S329" s="14"/>
      <c r="T329" s="14"/>
      <c r="U329" s="14"/>
      <c r="V329" s="14"/>
      <c r="W329" s="39">
        <f>IF(AND(L329="WIN",L330&lt;&gt;"WIN"),SUMIF(L$24:L329,"WIN",K$24:K329)-SUM(W$23:W328),"")</f>
        <v>374.63981229232377</v>
      </c>
      <c r="X329" s="41" t="str">
        <f>IF(AND(L329="LOSS",L330&lt;&gt;"LOSS"),SUMIF(L$24:L329,"LOSS",K$24:K329)-SUM(X$23:X328),"")</f>
        <v/>
      </c>
      <c r="Y329" s="8"/>
      <c r="Z329" s="85"/>
      <c r="AA329" s="85"/>
      <c r="AB329" s="85"/>
      <c r="AC329" s="85"/>
      <c r="AD329" s="85"/>
      <c r="AE329" s="85"/>
      <c r="AF329" s="85"/>
      <c r="AG329" s="85"/>
      <c r="AH329" s="85"/>
      <c r="AI329" s="85"/>
      <c r="AJ329" s="85"/>
      <c r="AK329" s="85"/>
      <c r="AL329" s="85"/>
      <c r="AM329" s="85"/>
      <c r="AN329" s="85"/>
      <c r="AO329" s="85"/>
      <c r="AP329" s="85"/>
      <c r="AQ329" s="85"/>
      <c r="AR329" s="85"/>
      <c r="AS329" s="85"/>
      <c r="AT329" s="85"/>
      <c r="AU329" s="85"/>
      <c r="AV329" s="85"/>
      <c r="AW329" s="85"/>
      <c r="AX329" s="85"/>
      <c r="AY329" s="85"/>
      <c r="AZ329" s="85"/>
      <c r="BA329" s="85"/>
    </row>
    <row r="330" spans="1:53" ht="15.75">
      <c r="A330" s="149"/>
      <c r="B330" s="305" t="s">
        <v>374</v>
      </c>
      <c r="C330" s="306"/>
      <c r="D330" s="271">
        <v>83</v>
      </c>
      <c r="E330" s="272"/>
      <c r="F330" s="278">
        <f t="shared" si="35"/>
        <v>15891.530646136109</v>
      </c>
      <c r="G330" s="279"/>
      <c r="H330" s="275">
        <f t="shared" si="31"/>
        <v>158.9153064613611</v>
      </c>
      <c r="I330" s="276"/>
      <c r="J330" s="277"/>
      <c r="K330" s="75">
        <f t="shared" si="36"/>
        <v>-158.9153064613611</v>
      </c>
      <c r="L330" s="81" t="str">
        <f t="shared" si="32"/>
        <v>LOSS</v>
      </c>
      <c r="M330" s="242">
        <f>IF(COUNTA($F$6:$F$10)=5,(F331-F24)/F24,"")</f>
        <v>0.5732615339674747</v>
      </c>
      <c r="N330" s="238">
        <f t="shared" si="33"/>
        <v>1</v>
      </c>
      <c r="O330" s="14" t="str">
        <f t="shared" si="34"/>
        <v>last</v>
      </c>
      <c r="P330" s="14"/>
      <c r="Q330" s="14"/>
      <c r="R330" s="14"/>
      <c r="S330" s="14"/>
      <c r="T330" s="14"/>
      <c r="U330" s="14"/>
      <c r="V330" s="14"/>
      <c r="W330" s="39" t="str">
        <f>IF(AND(L330="WIN",L331&lt;&gt;"WIN"),SUMIF(L$24:L330,"WIN",K$24:K330)-SUM(W$23:W329),"")</f>
        <v/>
      </c>
      <c r="X330" s="41">
        <f>IF(AND(L330="LOSS",L331&lt;&gt;"LOSS"),SUMIF(L$24:L330,"LOSS",K$24:K330)-SUM(X$23:X329),"")</f>
        <v>-158.91530646136016</v>
      </c>
      <c r="Y330" s="8"/>
      <c r="Z330" s="85"/>
      <c r="AA330" s="85"/>
      <c r="AB330" s="85"/>
      <c r="AC330" s="85"/>
      <c r="AD330" s="85"/>
      <c r="AE330" s="85"/>
      <c r="AF330" s="85"/>
      <c r="AG330" s="85"/>
      <c r="AH330" s="85"/>
      <c r="AI330" s="85"/>
      <c r="AJ330" s="85"/>
      <c r="AK330" s="85"/>
      <c r="AL330" s="85"/>
      <c r="AM330" s="85"/>
      <c r="AN330" s="85"/>
      <c r="AO330" s="85"/>
      <c r="AP330" s="85"/>
      <c r="AQ330" s="85"/>
      <c r="AR330" s="85"/>
      <c r="AS330" s="85"/>
      <c r="AT330" s="85"/>
      <c r="AU330" s="85"/>
      <c r="AV330" s="85"/>
      <c r="AW330" s="85"/>
      <c r="AX330" s="85"/>
      <c r="AY330" s="85"/>
      <c r="AZ330" s="85"/>
      <c r="BA330" s="85"/>
    </row>
    <row r="331" spans="1:53" ht="15.75">
      <c r="A331" s="149"/>
      <c r="B331" s="305" t="s">
        <v>375</v>
      </c>
      <c r="C331" s="306"/>
      <c r="D331" s="271">
        <v>9</v>
      </c>
      <c r="E331" s="272"/>
      <c r="F331" s="278">
        <f t="shared" si="35"/>
        <v>15732.615339674747</v>
      </c>
      <c r="G331" s="279"/>
      <c r="H331" s="275">
        <f t="shared" si="31"/>
        <v>157.32615339674746</v>
      </c>
      <c r="I331" s="276"/>
      <c r="J331" s="277"/>
      <c r="K331" s="75">
        <f t="shared" si="36"/>
        <v>188.79138407609693</v>
      </c>
      <c r="L331" s="81" t="str">
        <f t="shared" si="32"/>
        <v>WIN</v>
      </c>
      <c r="M331" s="242">
        <f>IF(COUNTA($F$6:$F$10)=5,(F332-F24)/F24,"")</f>
        <v>0.59214067237508439</v>
      </c>
      <c r="N331" s="238">
        <f t="shared" si="33"/>
        <v>1</v>
      </c>
      <c r="O331" s="14" t="str">
        <f t="shared" si="34"/>
        <v>last</v>
      </c>
      <c r="P331" s="14"/>
      <c r="Q331" s="14"/>
      <c r="R331" s="14"/>
      <c r="S331" s="14"/>
      <c r="T331" s="14"/>
      <c r="U331" s="14"/>
      <c r="V331" s="14"/>
      <c r="W331" s="39">
        <f>IF(AND(L331="WIN",L332&lt;&gt;"WIN"),SUMIF(L$24:L331,"WIN",K$24:K331)-SUM(W$23:W330),"")</f>
        <v>188.79138407609571</v>
      </c>
      <c r="X331" s="41" t="str">
        <f>IF(AND(L331="LOSS",L332&lt;&gt;"LOSS"),SUMIF(L$24:L331,"LOSS",K$24:K331)-SUM(X$23:X330),"")</f>
        <v/>
      </c>
      <c r="Y331" s="8"/>
      <c r="Z331" s="85"/>
      <c r="AA331" s="85"/>
      <c r="AB331" s="85"/>
      <c r="AC331" s="85"/>
      <c r="AD331" s="85"/>
      <c r="AE331" s="85"/>
      <c r="AF331" s="85"/>
      <c r="AG331" s="85"/>
      <c r="AH331" s="85"/>
      <c r="AI331" s="85"/>
      <c r="AJ331" s="85"/>
      <c r="AK331" s="85"/>
      <c r="AL331" s="85"/>
      <c r="AM331" s="85"/>
      <c r="AN331" s="85"/>
      <c r="AO331" s="85"/>
      <c r="AP331" s="85"/>
      <c r="AQ331" s="85"/>
      <c r="AR331" s="85"/>
      <c r="AS331" s="85"/>
      <c r="AT331" s="85"/>
      <c r="AU331" s="85"/>
      <c r="AV331" s="85"/>
      <c r="AW331" s="85"/>
      <c r="AX331" s="85"/>
      <c r="AY331" s="85"/>
      <c r="AZ331" s="85"/>
      <c r="BA331" s="85"/>
    </row>
    <row r="332" spans="1:53" ht="15.75">
      <c r="A332" s="149"/>
      <c r="B332" s="305" t="s">
        <v>376</v>
      </c>
      <c r="C332" s="306"/>
      <c r="D332" s="271">
        <v>87</v>
      </c>
      <c r="E332" s="272"/>
      <c r="F332" s="278">
        <f t="shared" si="35"/>
        <v>15921.406723750844</v>
      </c>
      <c r="G332" s="279"/>
      <c r="H332" s="275">
        <f t="shared" si="31"/>
        <v>159.21406723750846</v>
      </c>
      <c r="I332" s="276"/>
      <c r="J332" s="277"/>
      <c r="K332" s="75">
        <f t="shared" si="36"/>
        <v>-159.21406723750846</v>
      </c>
      <c r="L332" s="81" t="str">
        <f t="shared" si="32"/>
        <v>LOSS</v>
      </c>
      <c r="M332" s="242">
        <f>IF(COUNTA($F$6:$F$10)=5,(F333-F24)/F24,"")</f>
        <v>0.57621926565133363</v>
      </c>
      <c r="N332" s="238">
        <f t="shared" si="33"/>
        <v>1</v>
      </c>
      <c r="O332" s="14" t="str">
        <f t="shared" si="34"/>
        <v>last</v>
      </c>
      <c r="P332" s="14"/>
      <c r="Q332" s="14"/>
      <c r="R332" s="14"/>
      <c r="S332" s="14"/>
      <c r="T332" s="14"/>
      <c r="U332" s="14"/>
      <c r="V332" s="14"/>
      <c r="W332" s="39" t="str">
        <f>IF(AND(L332="WIN",L333&lt;&gt;"WIN"),SUMIF(L$24:L332,"WIN",K$24:K332)-SUM(W$23:W331),"")</f>
        <v/>
      </c>
      <c r="X332" s="41">
        <f>IF(AND(L332="LOSS",L333&lt;&gt;"LOSS"),SUMIF(L$24:L332,"LOSS",K$24:K332)-SUM(X$23:X331),"")</f>
        <v>-159.21406723750988</v>
      </c>
      <c r="Y332" s="8"/>
      <c r="Z332" s="85"/>
      <c r="AA332" s="85"/>
      <c r="AB332" s="85"/>
      <c r="AC332" s="85"/>
      <c r="AD332" s="85"/>
      <c r="AE332" s="85"/>
      <c r="AF332" s="85"/>
      <c r="AG332" s="85"/>
      <c r="AH332" s="85"/>
      <c r="AI332" s="85"/>
      <c r="AJ332" s="85"/>
      <c r="AK332" s="85"/>
      <c r="AL332" s="85"/>
      <c r="AM332" s="85"/>
      <c r="AN332" s="85"/>
      <c r="AO332" s="85"/>
      <c r="AP332" s="85"/>
      <c r="AQ332" s="85"/>
      <c r="AR332" s="85"/>
      <c r="AS332" s="85"/>
      <c r="AT332" s="85"/>
      <c r="AU332" s="85"/>
      <c r="AV332" s="85"/>
      <c r="AW332" s="85"/>
      <c r="AX332" s="85"/>
      <c r="AY332" s="85"/>
      <c r="AZ332" s="85"/>
      <c r="BA332" s="85"/>
    </row>
    <row r="333" spans="1:53" ht="15.75">
      <c r="A333" s="149"/>
      <c r="B333" s="305" t="s">
        <v>377</v>
      </c>
      <c r="C333" s="306"/>
      <c r="D333" s="271">
        <v>51</v>
      </c>
      <c r="E333" s="272"/>
      <c r="F333" s="278">
        <f t="shared" si="35"/>
        <v>15762.192656513336</v>
      </c>
      <c r="G333" s="279"/>
      <c r="H333" s="275">
        <f t="shared" si="31"/>
        <v>157.62192656513338</v>
      </c>
      <c r="I333" s="276"/>
      <c r="J333" s="277"/>
      <c r="K333" s="75">
        <f t="shared" si="36"/>
        <v>189.14631187816005</v>
      </c>
      <c r="L333" s="81" t="str">
        <f t="shared" si="32"/>
        <v>WIN</v>
      </c>
      <c r="M333" s="242">
        <f>IF(COUNTA($F$6:$F$10)=5,(F334-F24)/F24,"")</f>
        <v>0.59513389683914952</v>
      </c>
      <c r="N333" s="238">
        <f t="shared" si="33"/>
        <v>1</v>
      </c>
      <c r="O333" s="14" t="str">
        <f t="shared" si="34"/>
        <v>last</v>
      </c>
      <c r="P333" s="14"/>
      <c r="Q333" s="14"/>
      <c r="R333" s="14"/>
      <c r="S333" s="14"/>
      <c r="T333" s="14"/>
      <c r="U333" s="14"/>
      <c r="V333" s="14"/>
      <c r="W333" s="39">
        <f>IF(AND(L333="WIN",L334&lt;&gt;"WIN"),SUMIF(L$24:L333,"WIN",K$24:K333)-SUM(W$23:W332),"")</f>
        <v>189.14631187816121</v>
      </c>
      <c r="X333" s="41" t="str">
        <f>IF(AND(L333="LOSS",L334&lt;&gt;"LOSS"),SUMIF(L$24:L333,"LOSS",K$24:K333)-SUM(X$23:X332),"")</f>
        <v/>
      </c>
      <c r="Y333" s="8"/>
      <c r="Z333" s="85"/>
      <c r="AA333" s="85"/>
      <c r="AB333" s="85"/>
      <c r="AC333" s="85"/>
      <c r="AD333" s="85"/>
      <c r="AE333" s="85"/>
      <c r="AF333" s="85"/>
      <c r="AG333" s="85"/>
      <c r="AH333" s="85"/>
      <c r="AI333" s="85"/>
      <c r="AJ333" s="85"/>
      <c r="AK333" s="85"/>
      <c r="AL333" s="85"/>
      <c r="AM333" s="85"/>
      <c r="AN333" s="85"/>
      <c r="AO333" s="85"/>
      <c r="AP333" s="85"/>
      <c r="AQ333" s="85"/>
      <c r="AR333" s="85"/>
      <c r="AS333" s="85"/>
      <c r="AT333" s="85"/>
      <c r="AU333" s="85"/>
      <c r="AV333" s="85"/>
      <c r="AW333" s="85"/>
      <c r="AX333" s="85"/>
      <c r="AY333" s="85"/>
      <c r="AZ333" s="85"/>
      <c r="BA333" s="85"/>
    </row>
    <row r="334" spans="1:53" ht="15.75">
      <c r="A334" s="149"/>
      <c r="B334" s="305" t="s">
        <v>378</v>
      </c>
      <c r="C334" s="306"/>
      <c r="D334" s="271">
        <v>57</v>
      </c>
      <c r="E334" s="272"/>
      <c r="F334" s="278">
        <f t="shared" si="35"/>
        <v>15951.338968391496</v>
      </c>
      <c r="G334" s="279"/>
      <c r="H334" s="275">
        <f t="shared" si="31"/>
        <v>159.51338968391497</v>
      </c>
      <c r="I334" s="276"/>
      <c r="J334" s="277"/>
      <c r="K334" s="75">
        <f t="shared" si="36"/>
        <v>-159.51338968391497</v>
      </c>
      <c r="L334" s="81" t="str">
        <f t="shared" si="32"/>
        <v>LOSS</v>
      </c>
      <c r="M334" s="242">
        <f>IF(COUNTA($F$6:$F$10)=5,(F335-F24)/F24,"")</f>
        <v>0.57918255787075812</v>
      </c>
      <c r="N334" s="238">
        <f t="shared" si="33"/>
        <v>1</v>
      </c>
      <c r="O334" s="14" t="str">
        <f t="shared" si="34"/>
        <v>last</v>
      </c>
      <c r="P334" s="14"/>
      <c r="Q334" s="14"/>
      <c r="R334" s="14"/>
      <c r="S334" s="14"/>
      <c r="T334" s="14"/>
      <c r="U334" s="14"/>
      <c r="V334" s="14"/>
      <c r="W334" s="39" t="str">
        <f>IF(AND(L334="WIN",L335&lt;&gt;"WIN"),SUMIF(L$24:L334,"WIN",K$24:K334)-SUM(W$23:W333),"")</f>
        <v/>
      </c>
      <c r="X334" s="41">
        <f>IF(AND(L334="LOSS",L335&lt;&gt;"LOSS"),SUMIF(L$24:L334,"LOSS",K$24:K334)-SUM(X$23:X333),"")</f>
        <v>-159.51338968391428</v>
      </c>
      <c r="Y334" s="8"/>
      <c r="Z334" s="85"/>
      <c r="AA334" s="85"/>
      <c r="AB334" s="85"/>
      <c r="AC334" s="85"/>
      <c r="AD334" s="85"/>
      <c r="AE334" s="85"/>
      <c r="AF334" s="85"/>
      <c r="AG334" s="85"/>
      <c r="AH334" s="85"/>
      <c r="AI334" s="85"/>
      <c r="AJ334" s="85"/>
      <c r="AK334" s="85"/>
      <c r="AL334" s="85"/>
      <c r="AM334" s="85"/>
      <c r="AN334" s="85"/>
      <c r="AO334" s="85"/>
      <c r="AP334" s="85"/>
      <c r="AQ334" s="85"/>
      <c r="AR334" s="85"/>
      <c r="AS334" s="85"/>
      <c r="AT334" s="85"/>
      <c r="AU334" s="85"/>
      <c r="AV334" s="85"/>
      <c r="AW334" s="85"/>
      <c r="AX334" s="85"/>
      <c r="AY334" s="85"/>
      <c r="AZ334" s="85"/>
      <c r="BA334" s="85"/>
    </row>
    <row r="335" spans="1:53" ht="15.75">
      <c r="A335" s="149"/>
      <c r="B335" s="305" t="s">
        <v>379</v>
      </c>
      <c r="C335" s="306"/>
      <c r="D335" s="271">
        <v>19</v>
      </c>
      <c r="E335" s="272"/>
      <c r="F335" s="278">
        <f t="shared" si="35"/>
        <v>15791.825578707581</v>
      </c>
      <c r="G335" s="279"/>
      <c r="H335" s="275">
        <f t="shared" si="31"/>
        <v>157.91825578707582</v>
      </c>
      <c r="I335" s="276"/>
      <c r="J335" s="277"/>
      <c r="K335" s="75">
        <f t="shared" si="36"/>
        <v>189.50190694449097</v>
      </c>
      <c r="L335" s="81" t="str">
        <f t="shared" si="32"/>
        <v>WIN</v>
      </c>
      <c r="M335" s="242">
        <f>IF(COUNTA($F$6:$F$10)=5,(F336-F24)/F24,"")</f>
        <v>0.59813274856520726</v>
      </c>
      <c r="N335" s="238">
        <f t="shared" si="33"/>
        <v>1</v>
      </c>
      <c r="O335" s="14" t="str">
        <f t="shared" si="34"/>
        <v>new</v>
      </c>
      <c r="P335" s="14"/>
      <c r="Q335" s="14"/>
      <c r="R335" s="14"/>
      <c r="S335" s="14"/>
      <c r="T335" s="14"/>
      <c r="U335" s="14"/>
      <c r="V335" s="14"/>
      <c r="W335" s="39" t="str">
        <f>IF(AND(L335="WIN",L336&lt;&gt;"WIN"),SUMIF(L$24:L335,"WIN",K$24:K335)-SUM(W$23:W334),"")</f>
        <v/>
      </c>
      <c r="X335" s="41" t="str">
        <f>IF(AND(L335="LOSS",L336&lt;&gt;"LOSS"),SUMIF(L$24:L335,"LOSS",K$24:K335)-SUM(X$23:X334),"")</f>
        <v/>
      </c>
      <c r="Y335" s="8"/>
      <c r="Z335" s="85"/>
      <c r="AA335" s="85"/>
      <c r="AB335" s="85"/>
      <c r="AC335" s="85"/>
      <c r="AD335" s="85"/>
      <c r="AE335" s="85"/>
      <c r="AF335" s="85"/>
      <c r="AG335" s="85"/>
      <c r="AH335" s="85"/>
      <c r="AI335" s="85"/>
      <c r="AJ335" s="85"/>
      <c r="AK335" s="85"/>
      <c r="AL335" s="85"/>
      <c r="AM335" s="85"/>
      <c r="AN335" s="85"/>
      <c r="AO335" s="85"/>
      <c r="AP335" s="85"/>
      <c r="AQ335" s="85"/>
      <c r="AR335" s="85"/>
      <c r="AS335" s="85"/>
      <c r="AT335" s="85"/>
      <c r="AU335" s="85"/>
      <c r="AV335" s="85"/>
      <c r="AW335" s="85"/>
      <c r="AX335" s="85"/>
      <c r="AY335" s="85"/>
      <c r="AZ335" s="85"/>
      <c r="BA335" s="85"/>
    </row>
    <row r="336" spans="1:53" ht="15.75">
      <c r="A336" s="149"/>
      <c r="B336" s="305" t="s">
        <v>380</v>
      </c>
      <c r="C336" s="306"/>
      <c r="D336" s="271">
        <v>40</v>
      </c>
      <c r="E336" s="272"/>
      <c r="F336" s="278">
        <f t="shared" si="35"/>
        <v>15981.327485652073</v>
      </c>
      <c r="G336" s="279"/>
      <c r="H336" s="275">
        <f t="shared" si="31"/>
        <v>159.81327485652074</v>
      </c>
      <c r="I336" s="276"/>
      <c r="J336" s="277"/>
      <c r="K336" s="75">
        <f t="shared" si="36"/>
        <v>191.77592982782488</v>
      </c>
      <c r="L336" s="81" t="str">
        <f t="shared" si="32"/>
        <v>WIN</v>
      </c>
      <c r="M336" s="242">
        <f>IF(COUNTA($F$6:$F$10)=5,(F337-F24)/F24,"")</f>
        <v>0.6173103415479898</v>
      </c>
      <c r="N336" s="238">
        <f t="shared" si="33"/>
        <v>2</v>
      </c>
      <c r="O336" s="14" t="str">
        <f t="shared" si="34"/>
        <v>middle</v>
      </c>
      <c r="P336" s="14"/>
      <c r="Q336" s="14"/>
      <c r="R336" s="14"/>
      <c r="S336" s="14"/>
      <c r="T336" s="14"/>
      <c r="U336" s="14"/>
      <c r="V336" s="14"/>
      <c r="W336" s="39" t="str">
        <f>IF(AND(L336="WIN",L337&lt;&gt;"WIN"),SUMIF(L$24:L336,"WIN",K$24:K336)-SUM(W$23:W335),"")</f>
        <v/>
      </c>
      <c r="X336" s="41" t="str">
        <f>IF(AND(L336="LOSS",L337&lt;&gt;"LOSS"),SUMIF(L$24:L336,"LOSS",K$24:K336)-SUM(X$23:X335),"")</f>
        <v/>
      </c>
      <c r="Y336" s="8"/>
      <c r="Z336" s="85"/>
      <c r="AA336" s="85"/>
      <c r="AB336" s="85"/>
      <c r="AC336" s="85"/>
      <c r="AD336" s="85"/>
      <c r="AE336" s="85"/>
      <c r="AF336" s="85"/>
      <c r="AG336" s="85"/>
      <c r="AH336" s="85"/>
      <c r="AI336" s="85"/>
      <c r="AJ336" s="85"/>
      <c r="AK336" s="85"/>
      <c r="AL336" s="85"/>
      <c r="AM336" s="85"/>
      <c r="AN336" s="85"/>
      <c r="AO336" s="85"/>
      <c r="AP336" s="85"/>
      <c r="AQ336" s="85"/>
      <c r="AR336" s="85"/>
      <c r="AS336" s="85"/>
      <c r="AT336" s="85"/>
      <c r="AU336" s="85"/>
      <c r="AV336" s="85"/>
      <c r="AW336" s="85"/>
      <c r="AX336" s="85"/>
      <c r="AY336" s="85"/>
      <c r="AZ336" s="85"/>
      <c r="BA336" s="85"/>
    </row>
    <row r="337" spans="1:53" ht="15.75">
      <c r="A337" s="149"/>
      <c r="B337" s="305" t="s">
        <v>381</v>
      </c>
      <c r="C337" s="306"/>
      <c r="D337" s="271">
        <v>2</v>
      </c>
      <c r="E337" s="272"/>
      <c r="F337" s="278">
        <f t="shared" si="35"/>
        <v>16173.103415479898</v>
      </c>
      <c r="G337" s="279"/>
      <c r="H337" s="275">
        <f t="shared" si="31"/>
        <v>161.73103415479898</v>
      </c>
      <c r="I337" s="276"/>
      <c r="J337" s="277"/>
      <c r="K337" s="75">
        <f t="shared" si="36"/>
        <v>194.07724098575878</v>
      </c>
      <c r="L337" s="81" t="str">
        <f t="shared" si="32"/>
        <v>WIN</v>
      </c>
      <c r="M337" s="242">
        <f>IF(COUNTA($F$6:$F$10)=5,(F338-F24)/F24,"")</f>
        <v>0.63671806564656563</v>
      </c>
      <c r="N337" s="238">
        <f t="shared" si="33"/>
        <v>3</v>
      </c>
      <c r="O337" s="14" t="str">
        <f t="shared" si="34"/>
        <v>last</v>
      </c>
      <c r="P337" s="14"/>
      <c r="Q337" s="14"/>
      <c r="R337" s="14"/>
      <c r="S337" s="14"/>
      <c r="T337" s="14"/>
      <c r="U337" s="14"/>
      <c r="V337" s="14"/>
      <c r="W337" s="39">
        <f>IF(AND(L337="WIN",L338&lt;&gt;"WIN"),SUMIF(L$24:L337,"WIN",K$24:K337)-SUM(W$23:W336),"")</f>
        <v>575.35507775807491</v>
      </c>
      <c r="X337" s="41" t="str">
        <f>IF(AND(L337="LOSS",L338&lt;&gt;"LOSS"),SUMIF(L$24:L337,"LOSS",K$24:K337)-SUM(X$23:X336),"")</f>
        <v/>
      </c>
      <c r="Y337" s="8"/>
      <c r="Z337" s="85"/>
      <c r="AA337" s="85"/>
      <c r="AB337" s="85"/>
      <c r="AC337" s="85"/>
      <c r="AD337" s="85"/>
      <c r="AE337" s="85"/>
      <c r="AF337" s="85"/>
      <c r="AG337" s="85"/>
      <c r="AH337" s="85"/>
      <c r="AI337" s="85"/>
      <c r="AJ337" s="85"/>
      <c r="AK337" s="85"/>
      <c r="AL337" s="85"/>
      <c r="AM337" s="85"/>
      <c r="AN337" s="85"/>
      <c r="AO337" s="85"/>
      <c r="AP337" s="85"/>
      <c r="AQ337" s="85"/>
      <c r="AR337" s="85"/>
      <c r="AS337" s="85"/>
      <c r="AT337" s="85"/>
      <c r="AU337" s="85"/>
      <c r="AV337" s="85"/>
      <c r="AW337" s="85"/>
      <c r="AX337" s="85"/>
      <c r="AY337" s="85"/>
      <c r="AZ337" s="85"/>
      <c r="BA337" s="85"/>
    </row>
    <row r="338" spans="1:53" ht="15.75">
      <c r="A338" s="149"/>
      <c r="B338" s="305" t="s">
        <v>382</v>
      </c>
      <c r="C338" s="306"/>
      <c r="D338" s="271">
        <v>58</v>
      </c>
      <c r="E338" s="272"/>
      <c r="F338" s="278">
        <f t="shared" si="35"/>
        <v>16367.180656465656</v>
      </c>
      <c r="G338" s="279"/>
      <c r="H338" s="275">
        <f t="shared" si="31"/>
        <v>163.67180656465658</v>
      </c>
      <c r="I338" s="276"/>
      <c r="J338" s="277"/>
      <c r="K338" s="75">
        <f t="shared" si="36"/>
        <v>-163.67180656465658</v>
      </c>
      <c r="L338" s="81" t="str">
        <f t="shared" si="32"/>
        <v>LOSS</v>
      </c>
      <c r="M338" s="242">
        <f>IF(COUNTA($F$6:$F$10)=5,(F339-F24)/F24,"")</f>
        <v>0.62035088499009994</v>
      </c>
      <c r="N338" s="238">
        <f t="shared" si="33"/>
        <v>1</v>
      </c>
      <c r="O338" s="14" t="str">
        <f t="shared" si="34"/>
        <v>last</v>
      </c>
      <c r="P338" s="14"/>
      <c r="Q338" s="14"/>
      <c r="R338" s="14"/>
      <c r="S338" s="14"/>
      <c r="T338" s="14"/>
      <c r="U338" s="14"/>
      <c r="V338" s="14"/>
      <c r="W338" s="39" t="str">
        <f>IF(AND(L338="WIN",L339&lt;&gt;"WIN"),SUMIF(L$24:L338,"WIN",K$24:K338)-SUM(W$23:W337),"")</f>
        <v/>
      </c>
      <c r="X338" s="41">
        <f>IF(AND(L338="LOSS",L339&lt;&gt;"LOSS"),SUMIF(L$24:L338,"LOSS",K$24:K338)-SUM(X$23:X337),"")</f>
        <v>-163.67180656465644</v>
      </c>
      <c r="Y338" s="8"/>
      <c r="Z338" s="85"/>
      <c r="AA338" s="85"/>
      <c r="AB338" s="85"/>
      <c r="AC338" s="85"/>
      <c r="AD338" s="85"/>
      <c r="AE338" s="85"/>
      <c r="AF338" s="85"/>
      <c r="AG338" s="85"/>
      <c r="AH338" s="85"/>
      <c r="AI338" s="85"/>
      <c r="AJ338" s="85"/>
      <c r="AK338" s="85"/>
      <c r="AL338" s="85"/>
      <c r="AM338" s="85"/>
      <c r="AN338" s="85"/>
      <c r="AO338" s="85"/>
      <c r="AP338" s="85"/>
      <c r="AQ338" s="85"/>
      <c r="AR338" s="85"/>
      <c r="AS338" s="85"/>
      <c r="AT338" s="85"/>
      <c r="AU338" s="85"/>
      <c r="AV338" s="85"/>
      <c r="AW338" s="85"/>
      <c r="AX338" s="85"/>
      <c r="AY338" s="85"/>
      <c r="AZ338" s="85"/>
      <c r="BA338" s="85"/>
    </row>
    <row r="339" spans="1:53" ht="15.75">
      <c r="A339" s="149"/>
      <c r="B339" s="305" t="s">
        <v>383</v>
      </c>
      <c r="C339" s="306"/>
      <c r="D339" s="271">
        <v>29</v>
      </c>
      <c r="E339" s="272"/>
      <c r="F339" s="278">
        <f t="shared" si="35"/>
        <v>16203.508849901</v>
      </c>
      <c r="G339" s="279"/>
      <c r="H339" s="275">
        <f t="shared" si="31"/>
        <v>162.03508849901002</v>
      </c>
      <c r="I339" s="276"/>
      <c r="J339" s="277"/>
      <c r="K339" s="75">
        <f t="shared" si="36"/>
        <v>194.44210619881201</v>
      </c>
      <c r="L339" s="81" t="str">
        <f t="shared" si="32"/>
        <v>WIN</v>
      </c>
      <c r="M339" s="242">
        <f>IF(COUNTA($F$6:$F$10)=5,(F340-F24)/F24,"")</f>
        <v>0.63979509560998127</v>
      </c>
      <c r="N339" s="238">
        <f t="shared" si="33"/>
        <v>1</v>
      </c>
      <c r="O339" s="14" t="str">
        <f t="shared" si="34"/>
        <v>last</v>
      </c>
      <c r="P339" s="14"/>
      <c r="Q339" s="14"/>
      <c r="R339" s="14"/>
      <c r="S339" s="14"/>
      <c r="T339" s="14"/>
      <c r="U339" s="14"/>
      <c r="V339" s="14"/>
      <c r="W339" s="39">
        <f>IF(AND(L339="WIN",L340&lt;&gt;"WIN"),SUMIF(L$24:L339,"WIN",K$24:K339)-SUM(W$23:W338),"")</f>
        <v>194.44210619881051</v>
      </c>
      <c r="X339" s="41" t="str">
        <f>IF(AND(L339="LOSS",L340&lt;&gt;"LOSS"),SUMIF(L$24:L339,"LOSS",K$24:K339)-SUM(X$23:X338),"")</f>
        <v/>
      </c>
      <c r="Y339" s="8"/>
      <c r="Z339" s="85"/>
      <c r="AA339" s="85"/>
      <c r="AB339" s="85"/>
      <c r="AC339" s="85"/>
      <c r="AD339" s="85"/>
      <c r="AE339" s="85"/>
      <c r="AF339" s="85"/>
      <c r="AG339" s="85"/>
      <c r="AH339" s="85"/>
      <c r="AI339" s="85"/>
      <c r="AJ339" s="85"/>
      <c r="AK339" s="85"/>
      <c r="AL339" s="85"/>
      <c r="AM339" s="85"/>
      <c r="AN339" s="85"/>
      <c r="AO339" s="85"/>
      <c r="AP339" s="85"/>
      <c r="AQ339" s="85"/>
      <c r="AR339" s="85"/>
      <c r="AS339" s="85"/>
      <c r="AT339" s="85"/>
      <c r="AU339" s="85"/>
      <c r="AV339" s="85"/>
      <c r="AW339" s="85"/>
      <c r="AX339" s="85"/>
      <c r="AY339" s="85"/>
      <c r="AZ339" s="85"/>
      <c r="BA339" s="85"/>
    </row>
    <row r="340" spans="1:53" ht="15.75">
      <c r="A340" s="149"/>
      <c r="B340" s="305" t="s">
        <v>384</v>
      </c>
      <c r="C340" s="306"/>
      <c r="D340" s="271">
        <v>79</v>
      </c>
      <c r="E340" s="272"/>
      <c r="F340" s="278">
        <f t="shared" si="35"/>
        <v>16397.950956099812</v>
      </c>
      <c r="G340" s="279"/>
      <c r="H340" s="275">
        <f t="shared" si="31"/>
        <v>163.97950956099814</v>
      </c>
      <c r="I340" s="276"/>
      <c r="J340" s="277"/>
      <c r="K340" s="75">
        <f t="shared" si="36"/>
        <v>-163.97950956099814</v>
      </c>
      <c r="L340" s="81" t="str">
        <f t="shared" si="32"/>
        <v>LOSS</v>
      </c>
      <c r="M340" s="242">
        <f>IF(COUNTA($F$6:$F$10)=5,(F341-F24)/F24,"")</f>
        <v>0.6233971446538813</v>
      </c>
      <c r="N340" s="238">
        <f t="shared" si="33"/>
        <v>1</v>
      </c>
      <c r="O340" s="14" t="str">
        <f t="shared" si="34"/>
        <v>last</v>
      </c>
      <c r="P340" s="14"/>
      <c r="Q340" s="14"/>
      <c r="R340" s="14"/>
      <c r="S340" s="14"/>
      <c r="T340" s="14"/>
      <c r="U340" s="14"/>
      <c r="V340" s="14"/>
      <c r="W340" s="39" t="str">
        <f>IF(AND(L340="WIN",L341&lt;&gt;"WIN"),SUMIF(L$24:L340,"WIN",K$24:K340)-SUM(W$23:W339),"")</f>
        <v/>
      </c>
      <c r="X340" s="41">
        <f>IF(AND(L340="LOSS",L341&lt;&gt;"LOSS"),SUMIF(L$24:L340,"LOSS",K$24:K340)-SUM(X$23:X339),"")</f>
        <v>-163.97950956099885</v>
      </c>
      <c r="Y340" s="8"/>
      <c r="Z340" s="85"/>
      <c r="AA340" s="85"/>
      <c r="AB340" s="85"/>
      <c r="AC340" s="85"/>
      <c r="AD340" s="85"/>
      <c r="AE340" s="85"/>
      <c r="AF340" s="85"/>
      <c r="AG340" s="85"/>
      <c r="AH340" s="85"/>
      <c r="AI340" s="85"/>
      <c r="AJ340" s="85"/>
      <c r="AK340" s="85"/>
      <c r="AL340" s="85"/>
      <c r="AM340" s="85"/>
      <c r="AN340" s="85"/>
      <c r="AO340" s="85"/>
      <c r="AP340" s="85"/>
      <c r="AQ340" s="85"/>
      <c r="AR340" s="85"/>
      <c r="AS340" s="85"/>
      <c r="AT340" s="85"/>
      <c r="AU340" s="85"/>
      <c r="AV340" s="85"/>
      <c r="AW340" s="85"/>
      <c r="AX340" s="85"/>
      <c r="AY340" s="85"/>
      <c r="AZ340" s="85"/>
      <c r="BA340" s="85"/>
    </row>
    <row r="341" spans="1:53" ht="15.75">
      <c r="A341" s="149"/>
      <c r="B341" s="305" t="s">
        <v>385</v>
      </c>
      <c r="C341" s="306"/>
      <c r="D341" s="271">
        <v>52</v>
      </c>
      <c r="E341" s="272"/>
      <c r="F341" s="278">
        <f t="shared" si="35"/>
        <v>16233.971446538813</v>
      </c>
      <c r="G341" s="279"/>
      <c r="H341" s="275">
        <f t="shared" si="31"/>
        <v>162.33971446538814</v>
      </c>
      <c r="I341" s="276"/>
      <c r="J341" s="277"/>
      <c r="K341" s="75">
        <f t="shared" si="36"/>
        <v>194.80765735846578</v>
      </c>
      <c r="L341" s="81" t="str">
        <f t="shared" si="32"/>
        <v>WIN</v>
      </c>
      <c r="M341" s="242">
        <f>IF(COUNTA($F$6:$F$10)=5,(F342-F24)/F24,"")</f>
        <v>0.64287791038972786</v>
      </c>
      <c r="N341" s="238">
        <f t="shared" si="33"/>
        <v>1</v>
      </c>
      <c r="O341" s="14" t="str">
        <f t="shared" si="34"/>
        <v>new</v>
      </c>
      <c r="P341" s="14"/>
      <c r="Q341" s="14"/>
      <c r="R341" s="14"/>
      <c r="S341" s="14"/>
      <c r="T341" s="14"/>
      <c r="U341" s="14"/>
      <c r="V341" s="14"/>
      <c r="W341" s="39" t="str">
        <f>IF(AND(L341="WIN",L342&lt;&gt;"WIN"),SUMIF(L$24:L341,"WIN",K$24:K341)-SUM(W$23:W340),"")</f>
        <v/>
      </c>
      <c r="X341" s="41" t="str">
        <f>IF(AND(L341="LOSS",L342&lt;&gt;"LOSS"),SUMIF(L$24:L341,"LOSS",K$24:K341)-SUM(X$23:X340),"")</f>
        <v/>
      </c>
      <c r="Y341" s="8"/>
      <c r="Z341" s="85"/>
      <c r="AA341" s="85"/>
      <c r="AB341" s="85"/>
      <c r="AC341" s="85"/>
      <c r="AD341" s="85"/>
      <c r="AE341" s="85"/>
      <c r="AF341" s="85"/>
      <c r="AG341" s="85"/>
      <c r="AH341" s="85"/>
      <c r="AI341" s="85"/>
      <c r="AJ341" s="85"/>
      <c r="AK341" s="85"/>
      <c r="AL341" s="85"/>
      <c r="AM341" s="85"/>
      <c r="AN341" s="85"/>
      <c r="AO341" s="85"/>
      <c r="AP341" s="85"/>
      <c r="AQ341" s="85"/>
      <c r="AR341" s="85"/>
      <c r="AS341" s="85"/>
      <c r="AT341" s="85"/>
      <c r="AU341" s="85"/>
      <c r="AV341" s="85"/>
      <c r="AW341" s="85"/>
      <c r="AX341" s="85"/>
      <c r="AY341" s="85"/>
      <c r="AZ341" s="85"/>
      <c r="BA341" s="85"/>
    </row>
    <row r="342" spans="1:53" ht="15.75">
      <c r="A342" s="149"/>
      <c r="B342" s="305" t="s">
        <v>386</v>
      </c>
      <c r="C342" s="306"/>
      <c r="D342" s="271">
        <v>29</v>
      </c>
      <c r="E342" s="272"/>
      <c r="F342" s="278">
        <f t="shared" si="35"/>
        <v>16428.779103897279</v>
      </c>
      <c r="G342" s="279"/>
      <c r="H342" s="275">
        <f t="shared" si="31"/>
        <v>164.28779103897278</v>
      </c>
      <c r="I342" s="276"/>
      <c r="J342" s="277"/>
      <c r="K342" s="75">
        <f t="shared" si="36"/>
        <v>197.14534924676732</v>
      </c>
      <c r="L342" s="81" t="str">
        <f t="shared" si="32"/>
        <v>WIN</v>
      </c>
      <c r="M342" s="242">
        <f>IF(COUNTA($F$6:$F$10)=5,(F343-F24)/F24,"")</f>
        <v>0.66259244531440453</v>
      </c>
      <c r="N342" s="238">
        <f t="shared" si="33"/>
        <v>2</v>
      </c>
      <c r="O342" s="14" t="str">
        <f t="shared" si="34"/>
        <v>last</v>
      </c>
      <c r="P342" s="14"/>
      <c r="Q342" s="14"/>
      <c r="R342" s="14"/>
      <c r="S342" s="14"/>
      <c r="T342" s="14"/>
      <c r="U342" s="14"/>
      <c r="V342" s="14"/>
      <c r="W342" s="39">
        <f>IF(AND(L342="WIN",L343&lt;&gt;"WIN"),SUMIF(L$24:L342,"WIN",K$24:K342)-SUM(W$23:W341),"")</f>
        <v>391.95300660523208</v>
      </c>
      <c r="X342" s="41" t="str">
        <f>IF(AND(L342="LOSS",L343&lt;&gt;"LOSS"),SUMIF(L$24:L342,"LOSS",K$24:K342)-SUM(X$23:X341),"")</f>
        <v/>
      </c>
      <c r="Y342" s="8"/>
      <c r="Z342" s="85"/>
      <c r="AA342" s="85"/>
      <c r="AB342" s="85"/>
      <c r="AC342" s="85"/>
      <c r="AD342" s="85"/>
      <c r="AE342" s="85"/>
      <c r="AF342" s="85"/>
      <c r="AG342" s="85"/>
      <c r="AH342" s="85"/>
      <c r="AI342" s="85"/>
      <c r="AJ342" s="85"/>
      <c r="AK342" s="85"/>
      <c r="AL342" s="85"/>
      <c r="AM342" s="85"/>
      <c r="AN342" s="85"/>
      <c r="AO342" s="85"/>
      <c r="AP342" s="85"/>
      <c r="AQ342" s="85"/>
      <c r="AR342" s="85"/>
      <c r="AS342" s="85"/>
      <c r="AT342" s="85"/>
      <c r="AU342" s="85"/>
      <c r="AV342" s="85"/>
      <c r="AW342" s="85"/>
      <c r="AX342" s="85"/>
      <c r="AY342" s="85"/>
      <c r="AZ342" s="85"/>
      <c r="BA342" s="85"/>
    </row>
    <row r="343" spans="1:53" ht="15.75">
      <c r="A343" s="149"/>
      <c r="B343" s="305" t="s">
        <v>387</v>
      </c>
      <c r="C343" s="306"/>
      <c r="D343" s="271">
        <v>99</v>
      </c>
      <c r="E343" s="272"/>
      <c r="F343" s="278">
        <f t="shared" si="35"/>
        <v>16625.924453144045</v>
      </c>
      <c r="G343" s="279"/>
      <c r="H343" s="275">
        <f t="shared" si="31"/>
        <v>166.25924453144046</v>
      </c>
      <c r="I343" s="276"/>
      <c r="J343" s="277"/>
      <c r="K343" s="75">
        <f t="shared" si="36"/>
        <v>-166.25924453144046</v>
      </c>
      <c r="L343" s="81" t="str">
        <f t="shared" si="32"/>
        <v>LOSS</v>
      </c>
      <c r="M343" s="242">
        <f>IF(COUNTA($F$6:$F$10)=5,(F344-F24)/F24,"")</f>
        <v>0.6459665208612605</v>
      </c>
      <c r="N343" s="238">
        <f t="shared" si="33"/>
        <v>1</v>
      </c>
      <c r="O343" s="14" t="str">
        <f t="shared" si="34"/>
        <v>new</v>
      </c>
      <c r="P343" s="14"/>
      <c r="Q343" s="14"/>
      <c r="R343" s="14"/>
      <c r="S343" s="14"/>
      <c r="T343" s="14"/>
      <c r="U343" s="14"/>
      <c r="V343" s="14"/>
      <c r="W343" s="39" t="str">
        <f>IF(AND(L343="WIN",L344&lt;&gt;"WIN"),SUMIF(L$24:L343,"WIN",K$24:K343)-SUM(W$23:W342),"")</f>
        <v/>
      </c>
      <c r="X343" s="41" t="str">
        <f>IF(AND(L343="LOSS",L344&lt;&gt;"LOSS"),SUMIF(L$24:L343,"LOSS",K$24:K343)-SUM(X$23:X342),"")</f>
        <v/>
      </c>
      <c r="Y343" s="8"/>
      <c r="Z343" s="85"/>
      <c r="AA343" s="85"/>
      <c r="AB343" s="85"/>
      <c r="AC343" s="85"/>
      <c r="AD343" s="85"/>
      <c r="AE343" s="85"/>
      <c r="AF343" s="85"/>
      <c r="AG343" s="85"/>
      <c r="AH343" s="85"/>
      <c r="AI343" s="85"/>
      <c r="AJ343" s="85"/>
      <c r="AK343" s="85"/>
      <c r="AL343" s="85"/>
      <c r="AM343" s="85"/>
      <c r="AN343" s="85"/>
      <c r="AO343" s="85"/>
      <c r="AP343" s="85"/>
      <c r="AQ343" s="85"/>
      <c r="AR343" s="85"/>
      <c r="AS343" s="85"/>
      <c r="AT343" s="85"/>
      <c r="AU343" s="85"/>
      <c r="AV343" s="85"/>
      <c r="AW343" s="85"/>
      <c r="AX343" s="85"/>
      <c r="AY343" s="85"/>
      <c r="AZ343" s="85"/>
      <c r="BA343" s="85"/>
    </row>
    <row r="344" spans="1:53" ht="15.75">
      <c r="A344" s="149"/>
      <c r="B344" s="305" t="s">
        <v>388</v>
      </c>
      <c r="C344" s="306"/>
      <c r="D344" s="271">
        <v>78</v>
      </c>
      <c r="E344" s="272"/>
      <c r="F344" s="278">
        <f t="shared" si="35"/>
        <v>16459.665208612605</v>
      </c>
      <c r="G344" s="279"/>
      <c r="H344" s="275">
        <f t="shared" si="31"/>
        <v>164.59665208612606</v>
      </c>
      <c r="I344" s="276"/>
      <c r="J344" s="277"/>
      <c r="K344" s="75">
        <f t="shared" si="36"/>
        <v>-164.59665208612606</v>
      </c>
      <c r="L344" s="81" t="str">
        <f t="shared" si="32"/>
        <v>LOSS</v>
      </c>
      <c r="M344" s="242">
        <f>IF(COUNTA($F$6:$F$10)=5,(F345-F24)/F24,"")</f>
        <v>0.62950685565264797</v>
      </c>
      <c r="N344" s="238">
        <f t="shared" si="33"/>
        <v>2</v>
      </c>
      <c r="O344" s="14" t="str">
        <f t="shared" si="34"/>
        <v>last</v>
      </c>
      <c r="P344" s="14"/>
      <c r="Q344" s="14"/>
      <c r="R344" s="14"/>
      <c r="S344" s="14"/>
      <c r="T344" s="14"/>
      <c r="U344" s="14"/>
      <c r="V344" s="14"/>
      <c r="W344" s="39" t="str">
        <f>IF(AND(L344="WIN",L345&lt;&gt;"WIN"),SUMIF(L$24:L344,"WIN",K$24:K344)-SUM(W$23:W343),"")</f>
        <v/>
      </c>
      <c r="X344" s="41">
        <f>IF(AND(L344="LOSS",L345&lt;&gt;"LOSS"),SUMIF(L$24:L344,"LOSS",K$24:K344)-SUM(X$23:X343),"")</f>
        <v>-330.85589661756603</v>
      </c>
      <c r="Y344" s="8"/>
      <c r="Z344" s="85"/>
      <c r="AA344" s="85"/>
      <c r="AB344" s="85"/>
      <c r="AC344" s="85"/>
      <c r="AD344" s="85"/>
      <c r="AE344" s="85"/>
      <c r="AF344" s="85"/>
      <c r="AG344" s="85"/>
      <c r="AH344" s="85"/>
      <c r="AI344" s="85"/>
      <c r="AJ344" s="85"/>
      <c r="AK344" s="85"/>
      <c r="AL344" s="85"/>
      <c r="AM344" s="85"/>
      <c r="AN344" s="85"/>
      <c r="AO344" s="85"/>
      <c r="AP344" s="85"/>
      <c r="AQ344" s="85"/>
      <c r="AR344" s="85"/>
      <c r="AS344" s="85"/>
      <c r="AT344" s="85"/>
      <c r="AU344" s="85"/>
      <c r="AV344" s="85"/>
      <c r="AW344" s="85"/>
      <c r="AX344" s="85"/>
      <c r="AY344" s="85"/>
      <c r="AZ344" s="85"/>
      <c r="BA344" s="85"/>
    </row>
    <row r="345" spans="1:53" ht="15.75">
      <c r="A345" s="149"/>
      <c r="B345" s="305" t="s">
        <v>389</v>
      </c>
      <c r="C345" s="306"/>
      <c r="D345" s="271">
        <v>28</v>
      </c>
      <c r="E345" s="272"/>
      <c r="F345" s="278">
        <f t="shared" si="35"/>
        <v>16295.068556526479</v>
      </c>
      <c r="G345" s="279"/>
      <c r="H345" s="275">
        <f t="shared" ref="H345:H408" si="37">IF(COUNTBLANK($F$6:$F$10),"",F345*$F$7)</f>
        <v>162.95068556526479</v>
      </c>
      <c r="I345" s="276"/>
      <c r="J345" s="277"/>
      <c r="K345" s="75">
        <f t="shared" si="36"/>
        <v>195.54082267831774</v>
      </c>
      <c r="L345" s="81" t="str">
        <f t="shared" ref="L345:L408" si="38">IF(D345="","",IF(D345&lt;$F$8,"WIN","LOSS"))</f>
        <v>WIN</v>
      </c>
      <c r="M345" s="242">
        <f>IF(COUNTA($F$6:$F$10)=5,(F346-F24)/F24,"")</f>
        <v>0.64906093792047981</v>
      </c>
      <c r="N345" s="238">
        <f t="shared" ref="N345:N408" si="39">IF(L345=L344,N344+1,1)</f>
        <v>1</v>
      </c>
      <c r="O345" s="14" t="str">
        <f t="shared" ref="O345:O408" si="40">IF(N345=1,IF(N346=1,"last","new"),IF(N346=1,"last","middle"))</f>
        <v>new</v>
      </c>
      <c r="P345" s="14"/>
      <c r="Q345" s="14"/>
      <c r="R345" s="14"/>
      <c r="S345" s="14"/>
      <c r="T345" s="14"/>
      <c r="U345" s="14"/>
      <c r="V345" s="14"/>
      <c r="W345" s="39" t="str">
        <f>IF(AND(L345="WIN",L346&lt;&gt;"WIN"),SUMIF(L$24:L345,"WIN",K$24:K345)-SUM(W$23:W344),"")</f>
        <v/>
      </c>
      <c r="X345" s="41" t="str">
        <f>IF(AND(L345="LOSS",L346&lt;&gt;"LOSS"),SUMIF(L$24:L345,"LOSS",K$24:K345)-SUM(X$23:X344),"")</f>
        <v/>
      </c>
      <c r="Y345" s="8"/>
      <c r="Z345" s="85"/>
      <c r="AA345" s="85"/>
      <c r="AB345" s="85"/>
      <c r="AC345" s="85"/>
      <c r="AD345" s="85"/>
      <c r="AE345" s="85"/>
      <c r="AF345" s="85"/>
      <c r="AG345" s="85"/>
      <c r="AH345" s="85"/>
      <c r="AI345" s="85"/>
      <c r="AJ345" s="85"/>
      <c r="AK345" s="85"/>
      <c r="AL345" s="85"/>
      <c r="AM345" s="85"/>
      <c r="AN345" s="85"/>
      <c r="AO345" s="85"/>
      <c r="AP345" s="85"/>
      <c r="AQ345" s="85"/>
      <c r="AR345" s="85"/>
      <c r="AS345" s="85"/>
      <c r="AT345" s="85"/>
      <c r="AU345" s="85"/>
      <c r="AV345" s="85"/>
      <c r="AW345" s="85"/>
      <c r="AX345" s="85"/>
      <c r="AY345" s="85"/>
      <c r="AZ345" s="85"/>
      <c r="BA345" s="85"/>
    </row>
    <row r="346" spans="1:53" ht="15.75">
      <c r="A346" s="149"/>
      <c r="B346" s="305" t="s">
        <v>390</v>
      </c>
      <c r="C346" s="306"/>
      <c r="D346" s="271">
        <v>18</v>
      </c>
      <c r="E346" s="272"/>
      <c r="F346" s="278">
        <f t="shared" ref="F346:F409" si="41">IF(COUNTBLANK($F$6:$F$10),"",IF(D345&lt;$F$8,(1+$F$7*$F$9)*F345-$F$10,(1-$F$7)*F345-$F$10))</f>
        <v>16490.609379204798</v>
      </c>
      <c r="G346" s="279"/>
      <c r="H346" s="275">
        <f t="shared" si="37"/>
        <v>164.90609379204798</v>
      </c>
      <c r="I346" s="276"/>
      <c r="J346" s="277"/>
      <c r="K346" s="75">
        <f t="shared" ref="K346:K409" si="42">IF(COUNTBLANK($F$6:$F$10),"", IF(L346="win", H346*$F$9-$F$10, IF(L346="loss", -H346-$F$10)))</f>
        <v>197.88731255045758</v>
      </c>
      <c r="L346" s="81" t="str">
        <f t="shared" si="38"/>
        <v>WIN</v>
      </c>
      <c r="M346" s="242">
        <f>IF(COUNTA($F$6:$F$10)=5,(F347-F24)/F24,"")</f>
        <v>0.66884966917552557</v>
      </c>
      <c r="N346" s="238">
        <f t="shared" si="39"/>
        <v>2</v>
      </c>
      <c r="O346" s="14" t="str">
        <f t="shared" si="40"/>
        <v>middle</v>
      </c>
      <c r="P346" s="14"/>
      <c r="Q346" s="14"/>
      <c r="R346" s="14"/>
      <c r="S346" s="14"/>
      <c r="T346" s="14"/>
      <c r="U346" s="14"/>
      <c r="V346" s="14"/>
      <c r="W346" s="39" t="str">
        <f>IF(AND(L346="WIN",L347&lt;&gt;"WIN"),SUMIF(L$24:L346,"WIN",K$24:K346)-SUM(W$23:W345),"")</f>
        <v/>
      </c>
      <c r="X346" s="41" t="str">
        <f>IF(AND(L346="LOSS",L347&lt;&gt;"LOSS"),SUMIF(L$24:L346,"LOSS",K$24:K346)-SUM(X$23:X345),"")</f>
        <v/>
      </c>
      <c r="Y346" s="8"/>
      <c r="Z346" s="85"/>
      <c r="AA346" s="85"/>
      <c r="AB346" s="85"/>
      <c r="AC346" s="85"/>
      <c r="AD346" s="85"/>
      <c r="AE346" s="85"/>
      <c r="AF346" s="85"/>
      <c r="AG346" s="85"/>
      <c r="AH346" s="85"/>
      <c r="AI346" s="85"/>
      <c r="AJ346" s="85"/>
      <c r="AK346" s="85"/>
      <c r="AL346" s="85"/>
      <c r="AM346" s="85"/>
      <c r="AN346" s="85"/>
      <c r="AO346" s="85"/>
      <c r="AP346" s="85"/>
      <c r="AQ346" s="85"/>
      <c r="AR346" s="85"/>
      <c r="AS346" s="85"/>
      <c r="AT346" s="85"/>
      <c r="AU346" s="85"/>
      <c r="AV346" s="85"/>
      <c r="AW346" s="85"/>
      <c r="AX346" s="85"/>
      <c r="AY346" s="85"/>
      <c r="AZ346" s="85"/>
      <c r="BA346" s="85"/>
    </row>
    <row r="347" spans="1:53" ht="15.75">
      <c r="A347" s="149"/>
      <c r="B347" s="305" t="s">
        <v>391</v>
      </c>
      <c r="C347" s="306"/>
      <c r="D347" s="271">
        <v>4</v>
      </c>
      <c r="E347" s="272"/>
      <c r="F347" s="278">
        <f t="shared" si="41"/>
        <v>16688.496691755256</v>
      </c>
      <c r="G347" s="279"/>
      <c r="H347" s="275">
        <f t="shared" si="37"/>
        <v>166.88496691755256</v>
      </c>
      <c r="I347" s="276"/>
      <c r="J347" s="277"/>
      <c r="K347" s="75">
        <f t="shared" si="42"/>
        <v>200.26196030106306</v>
      </c>
      <c r="L347" s="81" t="str">
        <f t="shared" si="38"/>
        <v>WIN</v>
      </c>
      <c r="M347" s="242">
        <f>IF(COUNTA($F$6:$F$10)=5,(F348-F24)/F24,"")</f>
        <v>0.68887586520563204</v>
      </c>
      <c r="N347" s="238">
        <f t="shared" si="39"/>
        <v>3</v>
      </c>
      <c r="O347" s="14" t="str">
        <f t="shared" si="40"/>
        <v>last</v>
      </c>
      <c r="P347" s="14"/>
      <c r="Q347" s="14"/>
      <c r="R347" s="14"/>
      <c r="S347" s="14"/>
      <c r="T347" s="14"/>
      <c r="U347" s="14"/>
      <c r="V347" s="14"/>
      <c r="W347" s="39">
        <f>IF(AND(L347="WIN",L348&lt;&gt;"WIN"),SUMIF(L$24:L347,"WIN",K$24:K347)-SUM(W$23:W346),"")</f>
        <v>593.69009552984062</v>
      </c>
      <c r="X347" s="41" t="str">
        <f>IF(AND(L347="LOSS",L348&lt;&gt;"LOSS"),SUMIF(L$24:L347,"LOSS",K$24:K347)-SUM(X$23:X346),"")</f>
        <v/>
      </c>
      <c r="Y347" s="8"/>
      <c r="Z347" s="85"/>
      <c r="AA347" s="85"/>
      <c r="AB347" s="85"/>
      <c r="AC347" s="85"/>
      <c r="AD347" s="85"/>
      <c r="AE347" s="85"/>
      <c r="AF347" s="85"/>
      <c r="AG347" s="85"/>
      <c r="AH347" s="85"/>
      <c r="AI347" s="85"/>
      <c r="AJ347" s="85"/>
      <c r="AK347" s="85"/>
      <c r="AL347" s="85"/>
      <c r="AM347" s="85"/>
      <c r="AN347" s="85"/>
      <c r="AO347" s="85"/>
      <c r="AP347" s="85"/>
      <c r="AQ347" s="85"/>
      <c r="AR347" s="85"/>
      <c r="AS347" s="85"/>
      <c r="AT347" s="85"/>
      <c r="AU347" s="85"/>
      <c r="AV347" s="85"/>
      <c r="AW347" s="85"/>
      <c r="AX347" s="85"/>
      <c r="AY347" s="85"/>
      <c r="AZ347" s="85"/>
      <c r="BA347" s="85"/>
    </row>
    <row r="348" spans="1:53" ht="15.75">
      <c r="A348" s="149"/>
      <c r="B348" s="305" t="s">
        <v>392</v>
      </c>
      <c r="C348" s="306"/>
      <c r="D348" s="271">
        <v>86</v>
      </c>
      <c r="E348" s="272"/>
      <c r="F348" s="278">
        <f t="shared" si="41"/>
        <v>16888.75865205632</v>
      </c>
      <c r="G348" s="279"/>
      <c r="H348" s="275">
        <f t="shared" si="37"/>
        <v>168.88758652056319</v>
      </c>
      <c r="I348" s="276"/>
      <c r="J348" s="277"/>
      <c r="K348" s="75">
        <f t="shared" si="42"/>
        <v>-168.88758652056319</v>
      </c>
      <c r="L348" s="81" t="str">
        <f t="shared" si="38"/>
        <v>LOSS</v>
      </c>
      <c r="M348" s="242">
        <f>IF(COUNTA($F$6:$F$10)=5,(F349-F24)/F24,"")</f>
        <v>0.67198710655357574</v>
      </c>
      <c r="N348" s="238">
        <f t="shared" si="39"/>
        <v>1</v>
      </c>
      <c r="O348" s="14" t="str">
        <f t="shared" si="40"/>
        <v>last</v>
      </c>
      <c r="P348" s="14"/>
      <c r="Q348" s="14"/>
      <c r="R348" s="14"/>
      <c r="S348" s="14"/>
      <c r="T348" s="14"/>
      <c r="U348" s="14"/>
      <c r="V348" s="14"/>
      <c r="W348" s="39" t="str">
        <f>IF(AND(L348="WIN",L349&lt;&gt;"WIN"),SUMIF(L$24:L348,"WIN",K$24:K348)-SUM(W$23:W347),"")</f>
        <v/>
      </c>
      <c r="X348" s="41">
        <f>IF(AND(L348="LOSS",L349&lt;&gt;"LOSS"),SUMIF(L$24:L348,"LOSS",K$24:K348)-SUM(X$23:X347),"")</f>
        <v>-168.88758652056276</v>
      </c>
      <c r="Y348" s="8"/>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row>
    <row r="349" spans="1:53" ht="15.75">
      <c r="A349" s="149"/>
      <c r="B349" s="305" t="s">
        <v>393</v>
      </c>
      <c r="C349" s="306"/>
      <c r="D349" s="271">
        <v>12</v>
      </c>
      <c r="E349" s="272"/>
      <c r="F349" s="278">
        <f t="shared" si="41"/>
        <v>16719.871065535757</v>
      </c>
      <c r="G349" s="279"/>
      <c r="H349" s="275">
        <f t="shared" si="37"/>
        <v>167.19871065535759</v>
      </c>
      <c r="I349" s="276"/>
      <c r="J349" s="277"/>
      <c r="K349" s="75">
        <f t="shared" si="42"/>
        <v>200.6384527864291</v>
      </c>
      <c r="L349" s="81" t="str">
        <f t="shared" si="38"/>
        <v>WIN</v>
      </c>
      <c r="M349" s="242">
        <f>IF(COUNTA($F$6:$F$10)=5,(F350-F24)/F24,"")</f>
        <v>0.69205095183221854</v>
      </c>
      <c r="N349" s="238">
        <f t="shared" si="39"/>
        <v>1</v>
      </c>
      <c r="O349" s="14" t="str">
        <f t="shared" si="40"/>
        <v>new</v>
      </c>
      <c r="P349" s="14"/>
      <c r="Q349" s="14"/>
      <c r="R349" s="14"/>
      <c r="S349" s="14"/>
      <c r="T349" s="14"/>
      <c r="U349" s="14"/>
      <c r="V349" s="14"/>
      <c r="W349" s="39" t="str">
        <f>IF(AND(L349="WIN",L350&lt;&gt;"WIN"),SUMIF(L$24:L349,"WIN",K$24:K349)-SUM(W$23:W348),"")</f>
        <v/>
      </c>
      <c r="X349" s="41" t="str">
        <f>IF(AND(L349="LOSS",L350&lt;&gt;"LOSS"),SUMIF(L$24:L349,"LOSS",K$24:K349)-SUM(X$23:X348),"")</f>
        <v/>
      </c>
      <c r="Y349" s="8"/>
      <c r="Z349" s="85"/>
      <c r="AA349" s="85"/>
      <c r="AB349" s="85"/>
      <c r="AC349" s="85"/>
      <c r="AD349" s="85"/>
      <c r="AE349" s="85"/>
      <c r="AF349" s="85"/>
      <c r="AG349" s="85"/>
      <c r="AH349" s="85"/>
      <c r="AI349" s="85"/>
      <c r="AJ349" s="85"/>
      <c r="AK349" s="85"/>
      <c r="AL349" s="85"/>
      <c r="AM349" s="85"/>
      <c r="AN349" s="85"/>
      <c r="AO349" s="85"/>
      <c r="AP349" s="85"/>
      <c r="AQ349" s="85"/>
      <c r="AR349" s="85"/>
      <c r="AS349" s="85"/>
      <c r="AT349" s="85"/>
      <c r="AU349" s="85"/>
      <c r="AV349" s="85"/>
      <c r="AW349" s="85"/>
      <c r="AX349" s="85"/>
      <c r="AY349" s="85"/>
      <c r="AZ349" s="85"/>
      <c r="BA349" s="85"/>
    </row>
    <row r="350" spans="1:53" ht="15.75">
      <c r="A350" s="149"/>
      <c r="B350" s="305" t="s">
        <v>394</v>
      </c>
      <c r="C350" s="306"/>
      <c r="D350" s="271">
        <v>21</v>
      </c>
      <c r="E350" s="272"/>
      <c r="F350" s="278">
        <f t="shared" si="41"/>
        <v>16920.509518322186</v>
      </c>
      <c r="G350" s="279"/>
      <c r="H350" s="275">
        <f t="shared" si="37"/>
        <v>169.20509518322186</v>
      </c>
      <c r="I350" s="276"/>
      <c r="J350" s="277"/>
      <c r="K350" s="75">
        <f t="shared" si="42"/>
        <v>203.04611421986621</v>
      </c>
      <c r="L350" s="81" t="str">
        <f t="shared" si="38"/>
        <v>WIN</v>
      </c>
      <c r="M350" s="242">
        <f>IF(COUNTA($F$6:$F$10)=5,(F351-F24)/F24,"")</f>
        <v>0.71235556325420513</v>
      </c>
      <c r="N350" s="238">
        <f t="shared" si="39"/>
        <v>2</v>
      </c>
      <c r="O350" s="14" t="str">
        <f t="shared" si="40"/>
        <v>middle</v>
      </c>
      <c r="P350" s="14"/>
      <c r="Q350" s="14"/>
      <c r="R350" s="14"/>
      <c r="S350" s="14"/>
      <c r="T350" s="14"/>
      <c r="U350" s="14"/>
      <c r="V350" s="14"/>
      <c r="W350" s="39" t="str">
        <f>IF(AND(L350="WIN",L351&lt;&gt;"WIN"),SUMIF(L$24:L350,"WIN",K$24:K350)-SUM(W$23:W349),"")</f>
        <v/>
      </c>
      <c r="X350" s="41" t="str">
        <f>IF(AND(L350="LOSS",L351&lt;&gt;"LOSS"),SUMIF(L$24:L350,"LOSS",K$24:K350)-SUM(X$23:X349),"")</f>
        <v/>
      </c>
      <c r="Y350" s="8"/>
      <c r="Z350" s="85"/>
      <c r="AA350" s="85"/>
      <c r="AB350" s="85"/>
      <c r="AC350" s="85"/>
      <c r="AD350" s="85"/>
      <c r="AE350" s="85"/>
      <c r="AF350" s="85"/>
      <c r="AG350" s="85"/>
      <c r="AH350" s="85"/>
      <c r="AI350" s="85"/>
      <c r="AJ350" s="85"/>
      <c r="AK350" s="85"/>
      <c r="AL350" s="85"/>
      <c r="AM350" s="85"/>
      <c r="AN350" s="85"/>
      <c r="AO350" s="85"/>
      <c r="AP350" s="85"/>
      <c r="AQ350" s="85"/>
      <c r="AR350" s="85"/>
      <c r="AS350" s="85"/>
      <c r="AT350" s="85"/>
      <c r="AU350" s="85"/>
      <c r="AV350" s="85"/>
      <c r="AW350" s="85"/>
      <c r="AX350" s="85"/>
      <c r="AY350" s="85"/>
      <c r="AZ350" s="85"/>
      <c r="BA350" s="85"/>
    </row>
    <row r="351" spans="1:53" ht="15.75">
      <c r="A351" s="149"/>
      <c r="B351" s="305" t="s">
        <v>395</v>
      </c>
      <c r="C351" s="306"/>
      <c r="D351" s="271">
        <v>5</v>
      </c>
      <c r="E351" s="272"/>
      <c r="F351" s="278">
        <f t="shared" si="41"/>
        <v>17123.555632542051</v>
      </c>
      <c r="G351" s="279"/>
      <c r="H351" s="275">
        <f t="shared" si="37"/>
        <v>171.2355563254205</v>
      </c>
      <c r="I351" s="276"/>
      <c r="J351" s="277"/>
      <c r="K351" s="75">
        <f t="shared" si="42"/>
        <v>205.4826675905046</v>
      </c>
      <c r="L351" s="81" t="str">
        <f t="shared" si="38"/>
        <v>WIN</v>
      </c>
      <c r="M351" s="242">
        <f>IF(COUNTA($F$6:$F$10)=5,(F352-F24)/F24,"")</f>
        <v>0.73290383001325576</v>
      </c>
      <c r="N351" s="238">
        <f t="shared" si="39"/>
        <v>3</v>
      </c>
      <c r="O351" s="14" t="str">
        <f t="shared" si="40"/>
        <v>last</v>
      </c>
      <c r="P351" s="14"/>
      <c r="Q351" s="14"/>
      <c r="R351" s="14"/>
      <c r="S351" s="14"/>
      <c r="T351" s="14"/>
      <c r="U351" s="14"/>
      <c r="V351" s="14"/>
      <c r="W351" s="39">
        <f>IF(AND(L351="WIN",L352&lt;&gt;"WIN"),SUMIF(L$24:L351,"WIN",K$24:K351)-SUM(W$23:W350),"")</f>
        <v>609.16723459679997</v>
      </c>
      <c r="X351" s="41" t="str">
        <f>IF(AND(L351="LOSS",L352&lt;&gt;"LOSS"),SUMIF(L$24:L351,"LOSS",K$24:K351)-SUM(X$23:X350),"")</f>
        <v/>
      </c>
      <c r="Y351" s="8"/>
      <c r="Z351" s="85"/>
      <c r="AA351" s="85"/>
      <c r="AB351" s="85"/>
      <c r="AC351" s="85"/>
      <c r="AD351" s="85"/>
      <c r="AE351" s="85"/>
      <c r="AF351" s="85"/>
      <c r="AG351" s="85"/>
      <c r="AH351" s="85"/>
      <c r="AI351" s="85"/>
      <c r="AJ351" s="85"/>
      <c r="AK351" s="85"/>
      <c r="AL351" s="85"/>
      <c r="AM351" s="85"/>
      <c r="AN351" s="85"/>
      <c r="AO351" s="85"/>
      <c r="AP351" s="85"/>
      <c r="AQ351" s="85"/>
      <c r="AR351" s="85"/>
      <c r="AS351" s="85"/>
      <c r="AT351" s="85"/>
      <c r="AU351" s="85"/>
      <c r="AV351" s="85"/>
      <c r="AW351" s="85"/>
      <c r="AX351" s="85"/>
      <c r="AY351" s="85"/>
      <c r="AZ351" s="85"/>
      <c r="BA351" s="85"/>
    </row>
    <row r="352" spans="1:53" ht="15.75">
      <c r="A352" s="149"/>
      <c r="B352" s="305" t="s">
        <v>396</v>
      </c>
      <c r="C352" s="306"/>
      <c r="D352" s="271">
        <v>83</v>
      </c>
      <c r="E352" s="272"/>
      <c r="F352" s="278">
        <f t="shared" si="41"/>
        <v>17329.038300132557</v>
      </c>
      <c r="G352" s="279"/>
      <c r="H352" s="275">
        <f t="shared" si="37"/>
        <v>173.29038300132558</v>
      </c>
      <c r="I352" s="276"/>
      <c r="J352" s="277"/>
      <c r="K352" s="75">
        <f t="shared" si="42"/>
        <v>-173.29038300132558</v>
      </c>
      <c r="L352" s="81" t="str">
        <f t="shared" si="38"/>
        <v>LOSS</v>
      </c>
      <c r="M352" s="242">
        <f>IF(COUNTA($F$6:$F$10)=5,(F353-F24)/F24,"")</f>
        <v>0.71557479171312299</v>
      </c>
      <c r="N352" s="238">
        <f t="shared" si="39"/>
        <v>1</v>
      </c>
      <c r="O352" s="14" t="str">
        <f t="shared" si="40"/>
        <v>new</v>
      </c>
      <c r="P352" s="14"/>
      <c r="Q352" s="14"/>
      <c r="R352" s="14"/>
      <c r="S352" s="14"/>
      <c r="T352" s="14"/>
      <c r="U352" s="14"/>
      <c r="V352" s="14"/>
      <c r="W352" s="39" t="str">
        <f>IF(AND(L352="WIN",L353&lt;&gt;"WIN"),SUMIF(L$24:L352,"WIN",K$24:K352)-SUM(W$23:W351),"")</f>
        <v/>
      </c>
      <c r="X352" s="41" t="str">
        <f>IF(AND(L352="LOSS",L353&lt;&gt;"LOSS"),SUMIF(L$24:L352,"LOSS",K$24:K352)-SUM(X$23:X351),"")</f>
        <v/>
      </c>
      <c r="Y352" s="8"/>
      <c r="Z352" s="85"/>
      <c r="AA352" s="85"/>
      <c r="AB352" s="85"/>
      <c r="AC352" s="85"/>
      <c r="AD352" s="85"/>
      <c r="AE352" s="85"/>
      <c r="AF352" s="85"/>
      <c r="AG352" s="85"/>
      <c r="AH352" s="85"/>
      <c r="AI352" s="85"/>
      <c r="AJ352" s="85"/>
      <c r="AK352" s="85"/>
      <c r="AL352" s="85"/>
      <c r="AM352" s="85"/>
      <c r="AN352" s="85"/>
      <c r="AO352" s="85"/>
      <c r="AP352" s="85"/>
      <c r="AQ352" s="85"/>
      <c r="AR352" s="85"/>
      <c r="AS352" s="85"/>
      <c r="AT352" s="85"/>
      <c r="AU352" s="85"/>
      <c r="AV352" s="85"/>
      <c r="AW352" s="85"/>
      <c r="AX352" s="85"/>
      <c r="AY352" s="85"/>
      <c r="AZ352" s="85"/>
      <c r="BA352" s="85"/>
    </row>
    <row r="353" spans="1:53" ht="15.75">
      <c r="A353" s="149"/>
      <c r="B353" s="305" t="s">
        <v>397</v>
      </c>
      <c r="C353" s="306"/>
      <c r="D353" s="271">
        <v>90</v>
      </c>
      <c r="E353" s="272"/>
      <c r="F353" s="278">
        <f t="shared" si="41"/>
        <v>17155.74791713123</v>
      </c>
      <c r="G353" s="279"/>
      <c r="H353" s="275">
        <f t="shared" si="37"/>
        <v>171.55747917131231</v>
      </c>
      <c r="I353" s="276"/>
      <c r="J353" s="277"/>
      <c r="K353" s="75">
        <f t="shared" si="42"/>
        <v>-171.55747917131231</v>
      </c>
      <c r="L353" s="81" t="str">
        <f t="shared" si="38"/>
        <v>LOSS</v>
      </c>
      <c r="M353" s="242">
        <f>IF(COUNTA($F$6:$F$10)=5,(F354-F24)/F24,"")</f>
        <v>0.69841904379599185</v>
      </c>
      <c r="N353" s="238">
        <f t="shared" si="39"/>
        <v>2</v>
      </c>
      <c r="O353" s="14" t="str">
        <f t="shared" si="40"/>
        <v>middle</v>
      </c>
      <c r="P353" s="14"/>
      <c r="Q353" s="14"/>
      <c r="R353" s="14"/>
      <c r="S353" s="14"/>
      <c r="T353" s="14"/>
      <c r="U353" s="14"/>
      <c r="V353" s="14"/>
      <c r="W353" s="39" t="str">
        <f>IF(AND(L353="WIN",L354&lt;&gt;"WIN"),SUMIF(L$24:L353,"WIN",K$24:K353)-SUM(W$23:W352),"")</f>
        <v/>
      </c>
      <c r="X353" s="41" t="str">
        <f>IF(AND(L353="LOSS",L354&lt;&gt;"LOSS"),SUMIF(L$24:L353,"LOSS",K$24:K353)-SUM(X$23:X352),"")</f>
        <v/>
      </c>
      <c r="Y353" s="8"/>
      <c r="Z353" s="85"/>
      <c r="AA353" s="85"/>
      <c r="AB353" s="85"/>
      <c r="AC353" s="85"/>
      <c r="AD353" s="85"/>
      <c r="AE353" s="85"/>
      <c r="AF353" s="85"/>
      <c r="AG353" s="85"/>
      <c r="AH353" s="85"/>
      <c r="AI353" s="85"/>
      <c r="AJ353" s="85"/>
      <c r="AK353" s="85"/>
      <c r="AL353" s="85"/>
      <c r="AM353" s="85"/>
      <c r="AN353" s="85"/>
      <c r="AO353" s="85"/>
      <c r="AP353" s="85"/>
      <c r="AQ353" s="85"/>
      <c r="AR353" s="85"/>
      <c r="AS353" s="85"/>
      <c r="AT353" s="85"/>
      <c r="AU353" s="85"/>
      <c r="AV353" s="85"/>
      <c r="AW353" s="85"/>
      <c r="AX353" s="85"/>
      <c r="AY353" s="85"/>
      <c r="AZ353" s="85"/>
      <c r="BA353" s="85"/>
    </row>
    <row r="354" spans="1:53" ht="15.75">
      <c r="A354" s="149"/>
      <c r="B354" s="305" t="s">
        <v>398</v>
      </c>
      <c r="C354" s="306"/>
      <c r="D354" s="271">
        <v>98</v>
      </c>
      <c r="E354" s="272"/>
      <c r="F354" s="278">
        <f t="shared" si="41"/>
        <v>16984.190437959918</v>
      </c>
      <c r="G354" s="279"/>
      <c r="H354" s="275">
        <f t="shared" si="37"/>
        <v>169.84190437959919</v>
      </c>
      <c r="I354" s="276"/>
      <c r="J354" s="277"/>
      <c r="K354" s="75">
        <f t="shared" si="42"/>
        <v>-169.84190437959919</v>
      </c>
      <c r="L354" s="81" t="str">
        <f t="shared" si="38"/>
        <v>LOSS</v>
      </c>
      <c r="M354" s="242">
        <f>IF(COUNTA($F$6:$F$10)=5,(F355-F24)/F24,"")</f>
        <v>0.681434853358032</v>
      </c>
      <c r="N354" s="238">
        <f t="shared" si="39"/>
        <v>3</v>
      </c>
      <c r="O354" s="14" t="str">
        <f t="shared" si="40"/>
        <v>last</v>
      </c>
      <c r="P354" s="14"/>
      <c r="Q354" s="14"/>
      <c r="R354" s="14"/>
      <c r="S354" s="14"/>
      <c r="T354" s="14"/>
      <c r="U354" s="14"/>
      <c r="V354" s="14"/>
      <c r="W354" s="39" t="str">
        <f>IF(AND(L354="WIN",L355&lt;&gt;"WIN"),SUMIF(L$24:L354,"WIN",K$24:K354)-SUM(W$23:W353),"")</f>
        <v/>
      </c>
      <c r="X354" s="41">
        <f>IF(AND(L354="LOSS",L355&lt;&gt;"LOSS"),SUMIF(L$24:L354,"LOSS",K$24:K354)-SUM(X$23:X353),"")</f>
        <v>-514.68976655223378</v>
      </c>
      <c r="Y354" s="8"/>
      <c r="Z354" s="85"/>
      <c r="AA354" s="85"/>
      <c r="AB354" s="85"/>
      <c r="AC354" s="85"/>
      <c r="AD354" s="85"/>
      <c r="AE354" s="85"/>
      <c r="AF354" s="85"/>
      <c r="AG354" s="85"/>
      <c r="AH354" s="85"/>
      <c r="AI354" s="85"/>
      <c r="AJ354" s="85"/>
      <c r="AK354" s="85"/>
      <c r="AL354" s="85"/>
      <c r="AM354" s="85"/>
      <c r="AN354" s="85"/>
      <c r="AO354" s="85"/>
      <c r="AP354" s="85"/>
      <c r="AQ354" s="85"/>
      <c r="AR354" s="85"/>
      <c r="AS354" s="85"/>
      <c r="AT354" s="85"/>
      <c r="AU354" s="85"/>
      <c r="AV354" s="85"/>
      <c r="AW354" s="85"/>
      <c r="AX354" s="85"/>
      <c r="AY354" s="85"/>
      <c r="AZ354" s="85"/>
      <c r="BA354" s="85"/>
    </row>
    <row r="355" spans="1:53" ht="15.75">
      <c r="A355" s="149"/>
      <c r="B355" s="305" t="s">
        <v>399</v>
      </c>
      <c r="C355" s="306"/>
      <c r="D355" s="271">
        <v>54</v>
      </c>
      <c r="E355" s="272"/>
      <c r="F355" s="278">
        <f t="shared" si="41"/>
        <v>16814.34853358032</v>
      </c>
      <c r="G355" s="279"/>
      <c r="H355" s="275">
        <f t="shared" si="37"/>
        <v>168.14348533580321</v>
      </c>
      <c r="I355" s="276"/>
      <c r="J355" s="277"/>
      <c r="K355" s="75">
        <f t="shared" si="42"/>
        <v>201.77218240296384</v>
      </c>
      <c r="L355" s="81" t="str">
        <f t="shared" si="38"/>
        <v>WIN</v>
      </c>
      <c r="M355" s="242">
        <f>IF(COUNTA($F$6:$F$10)=5,(F356-F24)/F24,"")</f>
        <v>0.7016120715983285</v>
      </c>
      <c r="N355" s="238">
        <f t="shared" si="39"/>
        <v>1</v>
      </c>
      <c r="O355" s="14" t="str">
        <f t="shared" si="40"/>
        <v>new</v>
      </c>
      <c r="P355" s="14"/>
      <c r="Q355" s="14"/>
      <c r="R355" s="14"/>
      <c r="S355" s="14"/>
      <c r="T355" s="14"/>
      <c r="U355" s="14"/>
      <c r="V355" s="14"/>
      <c r="W355" s="39" t="str">
        <f>IF(AND(L355="WIN",L356&lt;&gt;"WIN"),SUMIF(L$24:L355,"WIN",K$24:K355)-SUM(W$23:W354),"")</f>
        <v/>
      </c>
      <c r="X355" s="41" t="str">
        <f>IF(AND(L355="LOSS",L356&lt;&gt;"LOSS"),SUMIF(L$24:L355,"LOSS",K$24:K355)-SUM(X$23:X354),"")</f>
        <v/>
      </c>
      <c r="Y355" s="8"/>
      <c r="Z355" s="85"/>
      <c r="AA355" s="85"/>
      <c r="AB355" s="85"/>
      <c r="AC355" s="85"/>
      <c r="AD355" s="85"/>
      <c r="AE355" s="85"/>
      <c r="AF355" s="85"/>
      <c r="AG355" s="85"/>
      <c r="AH355" s="85"/>
      <c r="AI355" s="85"/>
      <c r="AJ355" s="85"/>
      <c r="AK355" s="85"/>
      <c r="AL355" s="85"/>
      <c r="AM355" s="85"/>
      <c r="AN355" s="85"/>
      <c r="AO355" s="85"/>
      <c r="AP355" s="85"/>
      <c r="AQ355" s="85"/>
      <c r="AR355" s="85"/>
      <c r="AS355" s="85"/>
      <c r="AT355" s="85"/>
      <c r="AU355" s="85"/>
      <c r="AV355" s="85"/>
      <c r="AW355" s="85"/>
      <c r="AX355" s="85"/>
      <c r="AY355" s="85"/>
      <c r="AZ355" s="85"/>
      <c r="BA355" s="85"/>
    </row>
    <row r="356" spans="1:53" ht="15.75">
      <c r="A356" s="149"/>
      <c r="B356" s="305" t="s">
        <v>400</v>
      </c>
      <c r="C356" s="306"/>
      <c r="D356" s="271">
        <v>26</v>
      </c>
      <c r="E356" s="272"/>
      <c r="F356" s="278">
        <f t="shared" si="41"/>
        <v>17016.120715983285</v>
      </c>
      <c r="G356" s="279"/>
      <c r="H356" s="275">
        <f t="shared" si="37"/>
        <v>170.16120715983286</v>
      </c>
      <c r="I356" s="276"/>
      <c r="J356" s="277"/>
      <c r="K356" s="75">
        <f t="shared" si="42"/>
        <v>204.19344859179941</v>
      </c>
      <c r="L356" s="81" t="str">
        <f t="shared" si="38"/>
        <v>WIN</v>
      </c>
      <c r="M356" s="242">
        <f>IF(COUNTA($F$6:$F$10)=5,(F357-F24)/F24,"")</f>
        <v>0.72203141645750835</v>
      </c>
      <c r="N356" s="238">
        <f t="shared" si="39"/>
        <v>2</v>
      </c>
      <c r="O356" s="14" t="str">
        <f t="shared" si="40"/>
        <v>middle</v>
      </c>
      <c r="P356" s="14"/>
      <c r="Q356" s="14"/>
      <c r="R356" s="14"/>
      <c r="S356" s="14"/>
      <c r="T356" s="14"/>
      <c r="U356" s="14"/>
      <c r="V356" s="14"/>
      <c r="W356" s="39" t="str">
        <f>IF(AND(L356="WIN",L357&lt;&gt;"WIN"),SUMIF(L$24:L356,"WIN",K$24:K356)-SUM(W$23:W355),"")</f>
        <v/>
      </c>
      <c r="X356" s="41" t="str">
        <f>IF(AND(L356="LOSS",L357&lt;&gt;"LOSS"),SUMIF(L$24:L356,"LOSS",K$24:K356)-SUM(X$23:X355),"")</f>
        <v/>
      </c>
      <c r="Y356" s="8"/>
      <c r="Z356" s="85"/>
      <c r="AA356" s="85"/>
      <c r="AB356" s="85"/>
      <c r="AC356" s="85"/>
      <c r="AD356" s="85"/>
      <c r="AE356" s="85"/>
      <c r="AF356" s="85"/>
      <c r="AG356" s="85"/>
      <c r="AH356" s="85"/>
      <c r="AI356" s="85"/>
      <c r="AJ356" s="85"/>
      <c r="AK356" s="85"/>
      <c r="AL356" s="85"/>
      <c r="AM356" s="85"/>
      <c r="AN356" s="85"/>
      <c r="AO356" s="85"/>
      <c r="AP356" s="85"/>
      <c r="AQ356" s="85"/>
      <c r="AR356" s="85"/>
      <c r="AS356" s="85"/>
      <c r="AT356" s="85"/>
      <c r="AU356" s="85"/>
      <c r="AV356" s="85"/>
      <c r="AW356" s="85"/>
      <c r="AX356" s="85"/>
      <c r="AY356" s="85"/>
      <c r="AZ356" s="85"/>
      <c r="BA356" s="85"/>
    </row>
    <row r="357" spans="1:53" ht="15.75">
      <c r="A357" s="149"/>
      <c r="B357" s="305" t="s">
        <v>401</v>
      </c>
      <c r="C357" s="306"/>
      <c r="D357" s="271">
        <v>24</v>
      </c>
      <c r="E357" s="272"/>
      <c r="F357" s="278">
        <f t="shared" si="41"/>
        <v>17220.314164575084</v>
      </c>
      <c r="G357" s="279"/>
      <c r="H357" s="275">
        <f t="shared" si="37"/>
        <v>172.20314164575083</v>
      </c>
      <c r="I357" s="276"/>
      <c r="J357" s="277"/>
      <c r="K357" s="75">
        <f t="shared" si="42"/>
        <v>206.64376997490101</v>
      </c>
      <c r="L357" s="81" t="str">
        <f t="shared" si="38"/>
        <v>WIN</v>
      </c>
      <c r="M357" s="242">
        <f>IF(COUNTA($F$6:$F$10)=5,(F358-F24)/F24,"")</f>
        <v>0.74269579345499837</v>
      </c>
      <c r="N357" s="238">
        <f t="shared" si="39"/>
        <v>3</v>
      </c>
      <c r="O357" s="14" t="str">
        <f t="shared" si="40"/>
        <v>last</v>
      </c>
      <c r="P357" s="14"/>
      <c r="Q357" s="14"/>
      <c r="R357" s="14"/>
      <c r="S357" s="14"/>
      <c r="T357" s="14"/>
      <c r="U357" s="14"/>
      <c r="V357" s="14"/>
      <c r="W357" s="39">
        <f>IF(AND(L357="WIN",L358&lt;&gt;"WIN"),SUMIF(L$24:L357,"WIN",K$24:K357)-SUM(W$23:W356),"")</f>
        <v>612.60940096966442</v>
      </c>
      <c r="X357" s="41" t="str">
        <f>IF(AND(L357="LOSS",L358&lt;&gt;"LOSS"),SUMIF(L$24:L357,"LOSS",K$24:K357)-SUM(X$23:X356),"")</f>
        <v/>
      </c>
      <c r="Y357" s="8"/>
      <c r="Z357" s="85"/>
      <c r="AA357" s="85"/>
      <c r="AB357" s="85"/>
      <c r="AC357" s="85"/>
      <c r="AD357" s="85"/>
      <c r="AE357" s="85"/>
      <c r="AF357" s="85"/>
      <c r="AG357" s="85"/>
      <c r="AH357" s="85"/>
      <c r="AI357" s="85"/>
      <c r="AJ357" s="85"/>
      <c r="AK357" s="85"/>
      <c r="AL357" s="85"/>
      <c r="AM357" s="85"/>
      <c r="AN357" s="85"/>
      <c r="AO357" s="85"/>
      <c r="AP357" s="85"/>
      <c r="AQ357" s="85"/>
      <c r="AR357" s="85"/>
      <c r="AS357" s="85"/>
      <c r="AT357" s="85"/>
      <c r="AU357" s="85"/>
      <c r="AV357" s="85"/>
      <c r="AW357" s="85"/>
      <c r="AX357" s="85"/>
      <c r="AY357" s="85"/>
      <c r="AZ357" s="85"/>
      <c r="BA357" s="85"/>
    </row>
    <row r="358" spans="1:53" ht="15.75">
      <c r="A358" s="149"/>
      <c r="B358" s="305" t="s">
        <v>402</v>
      </c>
      <c r="C358" s="306"/>
      <c r="D358" s="271">
        <v>62</v>
      </c>
      <c r="E358" s="272"/>
      <c r="F358" s="278">
        <f t="shared" si="41"/>
        <v>17426.957934549984</v>
      </c>
      <c r="G358" s="279"/>
      <c r="H358" s="275">
        <f t="shared" si="37"/>
        <v>174.26957934549984</v>
      </c>
      <c r="I358" s="276"/>
      <c r="J358" s="277"/>
      <c r="K358" s="75">
        <f t="shared" si="42"/>
        <v>-174.26957934549984</v>
      </c>
      <c r="L358" s="81" t="str">
        <f t="shared" si="38"/>
        <v>LOSS</v>
      </c>
      <c r="M358" s="242">
        <f>IF(COUNTA($F$6:$F$10)=5,(F359-F24)/F24,"")</f>
        <v>0.72526883552044852</v>
      </c>
      <c r="N358" s="238">
        <f t="shared" si="39"/>
        <v>1</v>
      </c>
      <c r="O358" s="14" t="str">
        <f t="shared" si="40"/>
        <v>last</v>
      </c>
      <c r="P358" s="14"/>
      <c r="Q358" s="14"/>
      <c r="R358" s="14"/>
      <c r="S358" s="14"/>
      <c r="T358" s="14"/>
      <c r="U358" s="14"/>
      <c r="V358" s="14"/>
      <c r="W358" s="39" t="str">
        <f>IF(AND(L358="WIN",L359&lt;&gt;"WIN"),SUMIF(L$24:L358,"WIN",K$24:K358)-SUM(W$23:W357),"")</f>
        <v/>
      </c>
      <c r="X358" s="41">
        <f>IF(AND(L358="LOSS",L359&lt;&gt;"LOSS"),SUMIF(L$24:L358,"LOSS",K$24:K358)-SUM(X$23:X357),"")</f>
        <v>-174.26957934549864</v>
      </c>
      <c r="Y358" s="8"/>
      <c r="Z358" s="85"/>
      <c r="AA358" s="85"/>
      <c r="AB358" s="85"/>
      <c r="AC358" s="85"/>
      <c r="AD358" s="85"/>
      <c r="AE358" s="85"/>
      <c r="AF358" s="85"/>
      <c r="AG358" s="85"/>
      <c r="AH358" s="85"/>
      <c r="AI358" s="85"/>
      <c r="AJ358" s="85"/>
      <c r="AK358" s="85"/>
      <c r="AL358" s="85"/>
      <c r="AM358" s="85"/>
      <c r="AN358" s="85"/>
      <c r="AO358" s="85"/>
      <c r="AP358" s="85"/>
      <c r="AQ358" s="85"/>
      <c r="AR358" s="85"/>
      <c r="AS358" s="85"/>
      <c r="AT358" s="85"/>
      <c r="AU358" s="85"/>
      <c r="AV358" s="85"/>
      <c r="AW358" s="85"/>
      <c r="AX358" s="85"/>
      <c r="AY358" s="85"/>
      <c r="AZ358" s="85"/>
      <c r="BA358" s="85"/>
    </row>
    <row r="359" spans="1:53" ht="15.75">
      <c r="A359" s="149"/>
      <c r="B359" s="305" t="s">
        <v>403</v>
      </c>
      <c r="C359" s="306"/>
      <c r="D359" s="271">
        <v>6</v>
      </c>
      <c r="E359" s="272"/>
      <c r="F359" s="278">
        <f t="shared" si="41"/>
        <v>17252.688355204486</v>
      </c>
      <c r="G359" s="279"/>
      <c r="H359" s="275">
        <f t="shared" si="37"/>
        <v>172.52688355204486</v>
      </c>
      <c r="I359" s="276"/>
      <c r="J359" s="277"/>
      <c r="K359" s="75">
        <f t="shared" si="42"/>
        <v>207.03226026245383</v>
      </c>
      <c r="L359" s="81" t="str">
        <f t="shared" si="38"/>
        <v>WIN</v>
      </c>
      <c r="M359" s="242">
        <f>IF(COUNTA($F$6:$F$10)=5,(F360-F24)/F24,"")</f>
        <v>0.74597206154669404</v>
      </c>
      <c r="N359" s="238">
        <f t="shared" si="39"/>
        <v>1</v>
      </c>
      <c r="O359" s="14" t="str">
        <f t="shared" si="40"/>
        <v>new</v>
      </c>
      <c r="P359" s="14"/>
      <c r="Q359" s="14"/>
      <c r="R359" s="14"/>
      <c r="S359" s="14"/>
      <c r="T359" s="14"/>
      <c r="U359" s="14"/>
      <c r="V359" s="14"/>
      <c r="W359" s="39" t="str">
        <f>IF(AND(L359="WIN",L360&lt;&gt;"WIN"),SUMIF(L$24:L359,"WIN",K$24:K359)-SUM(W$23:W358),"")</f>
        <v/>
      </c>
      <c r="X359" s="41" t="str">
        <f>IF(AND(L359="LOSS",L360&lt;&gt;"LOSS"),SUMIF(L$24:L359,"LOSS",K$24:K359)-SUM(X$23:X358),"")</f>
        <v/>
      </c>
      <c r="Y359" s="8"/>
      <c r="Z359" s="85"/>
      <c r="AA359" s="85"/>
      <c r="AB359" s="85"/>
      <c r="AC359" s="85"/>
      <c r="AD359" s="85"/>
      <c r="AE359" s="85"/>
      <c r="AF359" s="85"/>
      <c r="AG359" s="85"/>
      <c r="AH359" s="85"/>
      <c r="AI359" s="85"/>
      <c r="AJ359" s="85"/>
      <c r="AK359" s="85"/>
      <c r="AL359" s="85"/>
      <c r="AM359" s="85"/>
      <c r="AN359" s="85"/>
      <c r="AO359" s="85"/>
      <c r="AP359" s="85"/>
      <c r="AQ359" s="85"/>
      <c r="AR359" s="85"/>
      <c r="AS359" s="85"/>
      <c r="AT359" s="85"/>
      <c r="AU359" s="85"/>
      <c r="AV359" s="85"/>
      <c r="AW359" s="85"/>
      <c r="AX359" s="85"/>
      <c r="AY359" s="85"/>
      <c r="AZ359" s="85"/>
      <c r="BA359" s="85"/>
    </row>
    <row r="360" spans="1:53" ht="15.75">
      <c r="A360" s="149"/>
      <c r="B360" s="305" t="s">
        <v>404</v>
      </c>
      <c r="C360" s="306"/>
      <c r="D360" s="271">
        <v>2</v>
      </c>
      <c r="E360" s="272"/>
      <c r="F360" s="278">
        <f t="shared" si="41"/>
        <v>17459.72061546694</v>
      </c>
      <c r="G360" s="279"/>
      <c r="H360" s="275">
        <f t="shared" si="37"/>
        <v>174.59720615466941</v>
      </c>
      <c r="I360" s="276"/>
      <c r="J360" s="277"/>
      <c r="K360" s="75">
        <f t="shared" si="42"/>
        <v>209.51664738560328</v>
      </c>
      <c r="L360" s="81" t="str">
        <f t="shared" si="38"/>
        <v>WIN</v>
      </c>
      <c r="M360" s="242">
        <f>IF(COUNTA($F$6:$F$10)=5,(F361-F24)/F24,"")</f>
        <v>0.7669237262852544</v>
      </c>
      <c r="N360" s="238">
        <f t="shared" si="39"/>
        <v>2</v>
      </c>
      <c r="O360" s="14" t="str">
        <f t="shared" si="40"/>
        <v>middle</v>
      </c>
      <c r="P360" s="14"/>
      <c r="Q360" s="14"/>
      <c r="R360" s="14"/>
      <c r="S360" s="14"/>
      <c r="T360" s="14"/>
      <c r="U360" s="14"/>
      <c r="V360" s="14"/>
      <c r="W360" s="39" t="str">
        <f>IF(AND(L360="WIN",L361&lt;&gt;"WIN"),SUMIF(L$24:L360,"WIN",K$24:K360)-SUM(W$23:W359),"")</f>
        <v/>
      </c>
      <c r="X360" s="41" t="str">
        <f>IF(AND(L360="LOSS",L361&lt;&gt;"LOSS"),SUMIF(L$24:L360,"LOSS",K$24:K360)-SUM(X$23:X359),"")</f>
        <v/>
      </c>
      <c r="Y360" s="8"/>
      <c r="Z360" s="85"/>
      <c r="AA360" s="85"/>
      <c r="AB360" s="85"/>
      <c r="AC360" s="85"/>
      <c r="AD360" s="85"/>
      <c r="AE360" s="85"/>
      <c r="AF360" s="85"/>
      <c r="AG360" s="85"/>
      <c r="AH360" s="85"/>
      <c r="AI360" s="85"/>
      <c r="AJ360" s="85"/>
      <c r="AK360" s="85"/>
      <c r="AL360" s="85"/>
      <c r="AM360" s="85"/>
      <c r="AN360" s="85"/>
      <c r="AO360" s="85"/>
      <c r="AP360" s="85"/>
      <c r="AQ360" s="85"/>
      <c r="AR360" s="85"/>
      <c r="AS360" s="85"/>
      <c r="AT360" s="85"/>
      <c r="AU360" s="85"/>
      <c r="AV360" s="85"/>
      <c r="AW360" s="85"/>
      <c r="AX360" s="85"/>
      <c r="AY360" s="85"/>
      <c r="AZ360" s="85"/>
      <c r="BA360" s="85"/>
    </row>
    <row r="361" spans="1:53" ht="15.75">
      <c r="A361" s="149"/>
      <c r="B361" s="305" t="s">
        <v>405</v>
      </c>
      <c r="C361" s="306"/>
      <c r="D361" s="271">
        <v>33</v>
      </c>
      <c r="E361" s="272"/>
      <c r="F361" s="278">
        <f t="shared" si="41"/>
        <v>17669.237262852545</v>
      </c>
      <c r="G361" s="279"/>
      <c r="H361" s="275">
        <f t="shared" si="37"/>
        <v>176.69237262852545</v>
      </c>
      <c r="I361" s="276"/>
      <c r="J361" s="277"/>
      <c r="K361" s="75">
        <f t="shared" si="42"/>
        <v>212.03084715423054</v>
      </c>
      <c r="L361" s="81" t="str">
        <f t="shared" si="38"/>
        <v>WIN</v>
      </c>
      <c r="M361" s="242">
        <f>IF(COUNTA($F$6:$F$10)=5,(F362-F24)/F24,"")</f>
        <v>0.7881268110006775</v>
      </c>
      <c r="N361" s="238">
        <f t="shared" si="39"/>
        <v>3</v>
      </c>
      <c r="O361" s="14" t="str">
        <f t="shared" si="40"/>
        <v>last</v>
      </c>
      <c r="P361" s="14"/>
      <c r="Q361" s="14"/>
      <c r="R361" s="14"/>
      <c r="S361" s="14"/>
      <c r="T361" s="14"/>
      <c r="U361" s="14"/>
      <c r="V361" s="14"/>
      <c r="W361" s="39">
        <f>IF(AND(L361="WIN",L362&lt;&gt;"WIN"),SUMIF(L$24:L361,"WIN",K$24:K361)-SUM(W$23:W360),"")</f>
        <v>628.57975480228924</v>
      </c>
      <c r="X361" s="41" t="str">
        <f>IF(AND(L361="LOSS",L362&lt;&gt;"LOSS"),SUMIF(L$24:L361,"LOSS",K$24:K361)-SUM(X$23:X360),"")</f>
        <v/>
      </c>
      <c r="Y361" s="8"/>
      <c r="Z361" s="85"/>
      <c r="AA361" s="85"/>
      <c r="AB361" s="85"/>
      <c r="AC361" s="85"/>
      <c r="AD361" s="85"/>
      <c r="AE361" s="85"/>
      <c r="AF361" s="85"/>
      <c r="AG361" s="85"/>
      <c r="AH361" s="85"/>
      <c r="AI361" s="85"/>
      <c r="AJ361" s="85"/>
      <c r="AK361" s="85"/>
      <c r="AL361" s="85"/>
      <c r="AM361" s="85"/>
      <c r="AN361" s="85"/>
      <c r="AO361" s="85"/>
      <c r="AP361" s="85"/>
      <c r="AQ361" s="85"/>
      <c r="AR361" s="85"/>
      <c r="AS361" s="85"/>
      <c r="AT361" s="85"/>
      <c r="AU361" s="85"/>
      <c r="AV361" s="85"/>
      <c r="AW361" s="85"/>
      <c r="AX361" s="85"/>
      <c r="AY361" s="85"/>
      <c r="AZ361" s="85"/>
      <c r="BA361" s="85"/>
    </row>
    <row r="362" spans="1:53" ht="15.75">
      <c r="A362" s="149"/>
      <c r="B362" s="305" t="s">
        <v>406</v>
      </c>
      <c r="C362" s="306"/>
      <c r="D362" s="271">
        <v>71</v>
      </c>
      <c r="E362" s="272"/>
      <c r="F362" s="278">
        <f t="shared" si="41"/>
        <v>17881.268110006775</v>
      </c>
      <c r="G362" s="279"/>
      <c r="H362" s="275">
        <f t="shared" si="37"/>
        <v>178.81268110006775</v>
      </c>
      <c r="I362" s="276"/>
      <c r="J362" s="277"/>
      <c r="K362" s="75">
        <f t="shared" si="42"/>
        <v>-178.81268110006775</v>
      </c>
      <c r="L362" s="81" t="str">
        <f t="shared" si="38"/>
        <v>LOSS</v>
      </c>
      <c r="M362" s="242">
        <f>IF(COUNTA($F$6:$F$10)=5,(F363-F24)/F24,"")</f>
        <v>0.7702455428906706</v>
      </c>
      <c r="N362" s="238">
        <f t="shared" si="39"/>
        <v>1</v>
      </c>
      <c r="O362" s="14" t="str">
        <f t="shared" si="40"/>
        <v>last</v>
      </c>
      <c r="P362" s="14"/>
      <c r="Q362" s="14"/>
      <c r="R362" s="14"/>
      <c r="S362" s="14"/>
      <c r="T362" s="14"/>
      <c r="U362" s="14"/>
      <c r="V362" s="14"/>
      <c r="W362" s="39" t="str">
        <f>IF(AND(L362="WIN",L363&lt;&gt;"WIN"),SUMIF(L$24:L362,"WIN",K$24:K362)-SUM(W$23:W361),"")</f>
        <v/>
      </c>
      <c r="X362" s="41">
        <f>IF(AND(L362="LOSS",L363&lt;&gt;"LOSS"),SUMIF(L$24:L362,"LOSS",K$24:K362)-SUM(X$23:X361),"")</f>
        <v>-178.81268110006931</v>
      </c>
      <c r="Y362" s="8"/>
      <c r="Z362" s="85"/>
      <c r="AA362" s="85"/>
      <c r="AB362" s="85"/>
      <c r="AC362" s="85"/>
      <c r="AD362" s="85"/>
      <c r="AE362" s="85"/>
      <c r="AF362" s="85"/>
      <c r="AG362" s="85"/>
      <c r="AH362" s="85"/>
      <c r="AI362" s="85"/>
      <c r="AJ362" s="85"/>
      <c r="AK362" s="85"/>
      <c r="AL362" s="85"/>
      <c r="AM362" s="85"/>
      <c r="AN362" s="85"/>
      <c r="AO362" s="85"/>
      <c r="AP362" s="85"/>
      <c r="AQ362" s="85"/>
      <c r="AR362" s="85"/>
      <c r="AS362" s="85"/>
      <c r="AT362" s="85"/>
      <c r="AU362" s="85"/>
      <c r="AV362" s="85"/>
      <c r="AW362" s="85"/>
      <c r="AX362" s="85"/>
      <c r="AY362" s="85"/>
      <c r="AZ362" s="85"/>
      <c r="BA362" s="85"/>
    </row>
    <row r="363" spans="1:53" ht="15.75">
      <c r="A363" s="149"/>
      <c r="B363" s="305" t="s">
        <v>407</v>
      </c>
      <c r="C363" s="306"/>
      <c r="D363" s="271">
        <v>35</v>
      </c>
      <c r="E363" s="272"/>
      <c r="F363" s="278">
        <f t="shared" si="41"/>
        <v>17702.455428906705</v>
      </c>
      <c r="G363" s="279"/>
      <c r="H363" s="275">
        <f t="shared" si="37"/>
        <v>177.02455428906705</v>
      </c>
      <c r="I363" s="276"/>
      <c r="J363" s="277"/>
      <c r="K363" s="75">
        <f t="shared" si="42"/>
        <v>212.42946514688046</v>
      </c>
      <c r="L363" s="81" t="str">
        <f t="shared" si="38"/>
        <v>WIN</v>
      </c>
      <c r="M363" s="242">
        <f>IF(COUNTA($F$6:$F$10)=5,(F364-F24)/F24,"")</f>
        <v>0.79148848940535865</v>
      </c>
      <c r="N363" s="238">
        <f t="shared" si="39"/>
        <v>1</v>
      </c>
      <c r="O363" s="14" t="str">
        <f t="shared" si="40"/>
        <v>last</v>
      </c>
      <c r="P363" s="14"/>
      <c r="Q363" s="14"/>
      <c r="R363" s="14"/>
      <c r="S363" s="14"/>
      <c r="T363" s="14"/>
      <c r="U363" s="14"/>
      <c r="V363" s="14"/>
      <c r="W363" s="39">
        <f>IF(AND(L363="WIN",L364&lt;&gt;"WIN"),SUMIF(L$24:L363,"WIN",K$24:K363)-SUM(W$23:W362),"")</f>
        <v>212.42946514688083</v>
      </c>
      <c r="X363" s="41" t="str">
        <f>IF(AND(L363="LOSS",L364&lt;&gt;"LOSS"),SUMIF(L$24:L363,"LOSS",K$24:K363)-SUM(X$23:X362),"")</f>
        <v/>
      </c>
      <c r="Y363" s="8"/>
      <c r="Z363" s="85"/>
      <c r="AA363" s="85"/>
      <c r="AB363" s="85"/>
      <c r="AC363" s="85"/>
      <c r="AD363" s="85"/>
      <c r="AE363" s="85"/>
      <c r="AF363" s="85"/>
      <c r="AG363" s="85"/>
      <c r="AH363" s="85"/>
      <c r="AI363" s="85"/>
      <c r="AJ363" s="85"/>
      <c r="AK363" s="85"/>
      <c r="AL363" s="85"/>
      <c r="AM363" s="85"/>
      <c r="AN363" s="85"/>
      <c r="AO363" s="85"/>
      <c r="AP363" s="85"/>
      <c r="AQ363" s="85"/>
      <c r="AR363" s="85"/>
      <c r="AS363" s="85"/>
      <c r="AT363" s="85"/>
      <c r="AU363" s="85"/>
      <c r="AV363" s="85"/>
      <c r="AW363" s="85"/>
      <c r="AX363" s="85"/>
      <c r="AY363" s="85"/>
      <c r="AZ363" s="85"/>
      <c r="BA363" s="85"/>
    </row>
    <row r="364" spans="1:53" ht="15.75">
      <c r="A364" s="149"/>
      <c r="B364" s="305" t="s">
        <v>408</v>
      </c>
      <c r="C364" s="306"/>
      <c r="D364" s="271">
        <v>75</v>
      </c>
      <c r="E364" s="272"/>
      <c r="F364" s="278">
        <f t="shared" si="41"/>
        <v>17914.884894053586</v>
      </c>
      <c r="G364" s="279"/>
      <c r="H364" s="275">
        <f t="shared" si="37"/>
        <v>179.14884894053586</v>
      </c>
      <c r="I364" s="276"/>
      <c r="J364" s="277"/>
      <c r="K364" s="75">
        <f t="shared" si="42"/>
        <v>-179.14884894053586</v>
      </c>
      <c r="L364" s="81" t="str">
        <f t="shared" si="38"/>
        <v>LOSS</v>
      </c>
      <c r="M364" s="242">
        <f>IF(COUNTA($F$6:$F$10)=5,(F365-F24)/F24,"")</f>
        <v>0.77357360451130519</v>
      </c>
      <c r="N364" s="238">
        <f t="shared" si="39"/>
        <v>1</v>
      </c>
      <c r="O364" s="14" t="str">
        <f t="shared" si="40"/>
        <v>new</v>
      </c>
      <c r="P364" s="14"/>
      <c r="Q364" s="14"/>
      <c r="R364" s="14"/>
      <c r="S364" s="14"/>
      <c r="T364" s="14"/>
      <c r="U364" s="14"/>
      <c r="V364" s="14"/>
      <c r="W364" s="39" t="str">
        <f>IF(AND(L364="WIN",L365&lt;&gt;"WIN"),SUMIF(L$24:L364,"WIN",K$24:K364)-SUM(W$23:W363),"")</f>
        <v/>
      </c>
      <c r="X364" s="41" t="str">
        <f>IF(AND(L364="LOSS",L365&lt;&gt;"LOSS"),SUMIF(L$24:L364,"LOSS",K$24:K364)-SUM(X$23:X363),"")</f>
        <v/>
      </c>
      <c r="Y364" s="8"/>
      <c r="Z364" s="85"/>
      <c r="AA364" s="85"/>
      <c r="AB364" s="85"/>
      <c r="AC364" s="85"/>
      <c r="AD364" s="85"/>
      <c r="AE364" s="85"/>
      <c r="AF364" s="85"/>
      <c r="AG364" s="85"/>
      <c r="AH364" s="85"/>
      <c r="AI364" s="85"/>
      <c r="AJ364" s="85"/>
      <c r="AK364" s="85"/>
      <c r="AL364" s="85"/>
      <c r="AM364" s="85"/>
      <c r="AN364" s="85"/>
      <c r="AO364" s="85"/>
      <c r="AP364" s="85"/>
      <c r="AQ364" s="85"/>
      <c r="AR364" s="85"/>
      <c r="AS364" s="85"/>
      <c r="AT364" s="85"/>
      <c r="AU364" s="85"/>
      <c r="AV364" s="85"/>
      <c r="AW364" s="85"/>
      <c r="AX364" s="85"/>
      <c r="AY364" s="85"/>
      <c r="AZ364" s="85"/>
      <c r="BA364" s="85"/>
    </row>
    <row r="365" spans="1:53" ht="15.75">
      <c r="A365" s="149"/>
      <c r="B365" s="305" t="s">
        <v>409</v>
      </c>
      <c r="C365" s="306"/>
      <c r="D365" s="271">
        <v>65</v>
      </c>
      <c r="E365" s="272"/>
      <c r="F365" s="278">
        <f t="shared" si="41"/>
        <v>17735.736045113052</v>
      </c>
      <c r="G365" s="279"/>
      <c r="H365" s="275">
        <f t="shared" si="37"/>
        <v>177.35736045113052</v>
      </c>
      <c r="I365" s="276"/>
      <c r="J365" s="277"/>
      <c r="K365" s="75">
        <f t="shared" si="42"/>
        <v>-177.35736045113052</v>
      </c>
      <c r="L365" s="81" t="str">
        <f t="shared" si="38"/>
        <v>LOSS</v>
      </c>
      <c r="M365" s="242">
        <f>IF(COUNTA($F$6:$F$10)=5,(F366-F24)/F24,"")</f>
        <v>0.75583786846619228</v>
      </c>
      <c r="N365" s="238">
        <f t="shared" si="39"/>
        <v>2</v>
      </c>
      <c r="O365" s="14" t="str">
        <f t="shared" si="40"/>
        <v>middle</v>
      </c>
      <c r="P365" s="14"/>
      <c r="Q365" s="14"/>
      <c r="R365" s="14"/>
      <c r="S365" s="14"/>
      <c r="T365" s="14"/>
      <c r="U365" s="14"/>
      <c r="V365" s="14"/>
      <c r="W365" s="39" t="str">
        <f>IF(AND(L365="WIN",L366&lt;&gt;"WIN"),SUMIF(L$24:L365,"WIN",K$24:K365)-SUM(W$23:W364),"")</f>
        <v/>
      </c>
      <c r="X365" s="41" t="str">
        <f>IF(AND(L365="LOSS",L366&lt;&gt;"LOSS"),SUMIF(L$24:L365,"LOSS",K$24:K365)-SUM(X$23:X364),"")</f>
        <v/>
      </c>
      <c r="Y365" s="8"/>
      <c r="Z365" s="85"/>
      <c r="AA365" s="85"/>
      <c r="AB365" s="85"/>
      <c r="AC365" s="85"/>
      <c r="AD365" s="85"/>
      <c r="AE365" s="85"/>
      <c r="AF365" s="85"/>
      <c r="AG365" s="85"/>
      <c r="AH365" s="85"/>
      <c r="AI365" s="85"/>
      <c r="AJ365" s="85"/>
      <c r="AK365" s="85"/>
      <c r="AL365" s="85"/>
      <c r="AM365" s="85"/>
      <c r="AN365" s="85"/>
      <c r="AO365" s="85"/>
      <c r="AP365" s="85"/>
      <c r="AQ365" s="85"/>
      <c r="AR365" s="85"/>
      <c r="AS365" s="85"/>
      <c r="AT365" s="85"/>
      <c r="AU365" s="85"/>
      <c r="AV365" s="85"/>
      <c r="AW365" s="85"/>
      <c r="AX365" s="85"/>
      <c r="AY365" s="85"/>
      <c r="AZ365" s="85"/>
      <c r="BA365" s="85"/>
    </row>
    <row r="366" spans="1:53" ht="15.75">
      <c r="A366" s="149"/>
      <c r="B366" s="305" t="s">
        <v>410</v>
      </c>
      <c r="C366" s="306"/>
      <c r="D366" s="271">
        <v>56</v>
      </c>
      <c r="E366" s="272"/>
      <c r="F366" s="278">
        <f t="shared" si="41"/>
        <v>17558.378684661922</v>
      </c>
      <c r="G366" s="279"/>
      <c r="H366" s="275">
        <f t="shared" si="37"/>
        <v>175.58378684661923</v>
      </c>
      <c r="I366" s="276"/>
      <c r="J366" s="277"/>
      <c r="K366" s="75">
        <f t="shared" si="42"/>
        <v>-175.58378684661923</v>
      </c>
      <c r="L366" s="81" t="str">
        <f t="shared" si="38"/>
        <v>LOSS</v>
      </c>
      <c r="M366" s="242">
        <f>IF(COUNTA($F$6:$F$10)=5,(F367-F24)/F24,"")</f>
        <v>0.73827948978153035</v>
      </c>
      <c r="N366" s="238">
        <f t="shared" si="39"/>
        <v>3</v>
      </c>
      <c r="O366" s="14" t="str">
        <f t="shared" si="40"/>
        <v>middle</v>
      </c>
      <c r="P366" s="14"/>
      <c r="Q366" s="14"/>
      <c r="R366" s="14"/>
      <c r="S366" s="14"/>
      <c r="T366" s="14"/>
      <c r="U366" s="14"/>
      <c r="V366" s="14"/>
      <c r="W366" s="39" t="str">
        <f>IF(AND(L366="WIN",L367&lt;&gt;"WIN"),SUMIF(L$24:L366,"WIN",K$24:K366)-SUM(W$23:W365),"")</f>
        <v/>
      </c>
      <c r="X366" s="41" t="str">
        <f>IF(AND(L366="LOSS",L367&lt;&gt;"LOSS"),SUMIF(L$24:L366,"LOSS",K$24:K366)-SUM(X$23:X365),"")</f>
        <v/>
      </c>
      <c r="Y366" s="8"/>
      <c r="Z366" s="85"/>
      <c r="AA366" s="85"/>
      <c r="AB366" s="85"/>
      <c r="AC366" s="85"/>
      <c r="AD366" s="85"/>
      <c r="AE366" s="85"/>
      <c r="AF366" s="85"/>
      <c r="AG366" s="85"/>
      <c r="AH366" s="85"/>
      <c r="AI366" s="85"/>
      <c r="AJ366" s="85"/>
      <c r="AK366" s="85"/>
      <c r="AL366" s="85"/>
      <c r="AM366" s="85"/>
      <c r="AN366" s="85"/>
      <c r="AO366" s="85"/>
      <c r="AP366" s="85"/>
      <c r="AQ366" s="85"/>
      <c r="AR366" s="85"/>
      <c r="AS366" s="85"/>
      <c r="AT366" s="85"/>
      <c r="AU366" s="85"/>
      <c r="AV366" s="85"/>
      <c r="AW366" s="85"/>
      <c r="AX366" s="85"/>
      <c r="AY366" s="85"/>
      <c r="AZ366" s="85"/>
      <c r="BA366" s="85"/>
    </row>
    <row r="367" spans="1:53" ht="15.75">
      <c r="A367" s="149"/>
      <c r="B367" s="305" t="s">
        <v>411</v>
      </c>
      <c r="C367" s="306"/>
      <c r="D367" s="271">
        <v>95</v>
      </c>
      <c r="E367" s="272"/>
      <c r="F367" s="278">
        <f t="shared" si="41"/>
        <v>17382.794897815304</v>
      </c>
      <c r="G367" s="279"/>
      <c r="H367" s="275">
        <f t="shared" si="37"/>
        <v>173.82794897815305</v>
      </c>
      <c r="I367" s="276"/>
      <c r="J367" s="277"/>
      <c r="K367" s="75">
        <f t="shared" si="42"/>
        <v>-173.82794897815305</v>
      </c>
      <c r="L367" s="81" t="str">
        <f t="shared" si="38"/>
        <v>LOSS</v>
      </c>
      <c r="M367" s="242">
        <f>IF(COUNTA($F$6:$F$10)=5,(F368-F24)/F24,"")</f>
        <v>0.72089669488371511</v>
      </c>
      <c r="N367" s="238">
        <f t="shared" si="39"/>
        <v>4</v>
      </c>
      <c r="O367" s="14" t="str">
        <f t="shared" si="40"/>
        <v>last</v>
      </c>
      <c r="P367" s="14"/>
      <c r="Q367" s="14"/>
      <c r="R367" s="14"/>
      <c r="S367" s="14"/>
      <c r="T367" s="14"/>
      <c r="U367" s="14"/>
      <c r="V367" s="14"/>
      <c r="W367" s="39" t="str">
        <f>IF(AND(L367="WIN",L368&lt;&gt;"WIN"),SUMIF(L$24:L367,"WIN",K$24:K367)-SUM(W$23:W366),"")</f>
        <v/>
      </c>
      <c r="X367" s="41">
        <f>IF(AND(L367="LOSS",L368&lt;&gt;"LOSS"),SUMIF(L$24:L367,"LOSS",K$24:K367)-SUM(X$23:X366),"")</f>
        <v>-705.91794521643533</v>
      </c>
      <c r="Y367" s="8"/>
      <c r="Z367" s="85"/>
      <c r="AA367" s="85"/>
      <c r="AB367" s="85"/>
      <c r="AC367" s="85"/>
      <c r="AD367" s="85"/>
      <c r="AE367" s="85"/>
      <c r="AF367" s="85"/>
      <c r="AG367" s="85"/>
      <c r="AH367" s="85"/>
      <c r="AI367" s="85"/>
      <c r="AJ367" s="85"/>
      <c r="AK367" s="85"/>
      <c r="AL367" s="85"/>
      <c r="AM367" s="85"/>
      <c r="AN367" s="85"/>
      <c r="AO367" s="85"/>
      <c r="AP367" s="85"/>
      <c r="AQ367" s="85"/>
      <c r="AR367" s="85"/>
      <c r="AS367" s="85"/>
      <c r="AT367" s="85"/>
      <c r="AU367" s="85"/>
      <c r="AV367" s="85"/>
      <c r="AW367" s="85"/>
      <c r="AX367" s="85"/>
      <c r="AY367" s="85"/>
      <c r="AZ367" s="85"/>
      <c r="BA367" s="85"/>
    </row>
    <row r="368" spans="1:53" ht="15.75">
      <c r="A368" s="149"/>
      <c r="B368" s="305" t="s">
        <v>412</v>
      </c>
      <c r="C368" s="306"/>
      <c r="D368" s="271">
        <v>35</v>
      </c>
      <c r="E368" s="272"/>
      <c r="F368" s="278">
        <f t="shared" si="41"/>
        <v>17208.966948837151</v>
      </c>
      <c r="G368" s="279"/>
      <c r="H368" s="275">
        <f t="shared" si="37"/>
        <v>172.08966948837153</v>
      </c>
      <c r="I368" s="276"/>
      <c r="J368" s="277"/>
      <c r="K368" s="75">
        <f t="shared" si="42"/>
        <v>206.50760338604582</v>
      </c>
      <c r="L368" s="81" t="str">
        <f t="shared" si="38"/>
        <v>WIN</v>
      </c>
      <c r="M368" s="242">
        <f>IF(COUNTA($F$6:$F$10)=5,(F369-F24)/F24,"")</f>
        <v>0.74154745522231968</v>
      </c>
      <c r="N368" s="238">
        <f t="shared" si="39"/>
        <v>1</v>
      </c>
      <c r="O368" s="14" t="str">
        <f t="shared" si="40"/>
        <v>new</v>
      </c>
      <c r="P368" s="14"/>
      <c r="Q368" s="14"/>
      <c r="R368" s="14"/>
      <c r="S368" s="14"/>
      <c r="T368" s="14"/>
      <c r="U368" s="14"/>
      <c r="V368" s="14"/>
      <c r="W368" s="39" t="str">
        <f>IF(AND(L368="WIN",L369&lt;&gt;"WIN"),SUMIF(L$24:L368,"WIN",K$24:K368)-SUM(W$23:W367),"")</f>
        <v/>
      </c>
      <c r="X368" s="41" t="str">
        <f>IF(AND(L368="LOSS",L369&lt;&gt;"LOSS"),SUMIF(L$24:L368,"LOSS",K$24:K368)-SUM(X$23:X367),"")</f>
        <v/>
      </c>
      <c r="Y368" s="8"/>
      <c r="Z368" s="85"/>
      <c r="AA368" s="85"/>
      <c r="AB368" s="85"/>
      <c r="AC368" s="85"/>
      <c r="AD368" s="85"/>
      <c r="AE368" s="85"/>
      <c r="AF368" s="85"/>
      <c r="AG368" s="85"/>
      <c r="AH368" s="85"/>
      <c r="AI368" s="85"/>
      <c r="AJ368" s="85"/>
      <c r="AK368" s="85"/>
      <c r="AL368" s="85"/>
      <c r="AM368" s="85"/>
      <c r="AN368" s="85"/>
      <c r="AO368" s="85"/>
      <c r="AP368" s="85"/>
      <c r="AQ368" s="85"/>
      <c r="AR368" s="85"/>
      <c r="AS368" s="85"/>
      <c r="AT368" s="85"/>
      <c r="AU368" s="85"/>
      <c r="AV368" s="85"/>
      <c r="AW368" s="85"/>
      <c r="AX368" s="85"/>
      <c r="AY368" s="85"/>
      <c r="AZ368" s="85"/>
      <c r="BA368" s="85"/>
    </row>
    <row r="369" spans="1:53" ht="15.75">
      <c r="A369" s="149"/>
      <c r="B369" s="305" t="s">
        <v>413</v>
      </c>
      <c r="C369" s="306"/>
      <c r="D369" s="271">
        <v>47</v>
      </c>
      <c r="E369" s="272"/>
      <c r="F369" s="278">
        <f t="shared" si="41"/>
        <v>17415.474552223197</v>
      </c>
      <c r="G369" s="279"/>
      <c r="H369" s="275">
        <f t="shared" si="37"/>
        <v>174.15474552223196</v>
      </c>
      <c r="I369" s="276"/>
      <c r="J369" s="277"/>
      <c r="K369" s="75">
        <f t="shared" si="42"/>
        <v>208.98569462667834</v>
      </c>
      <c r="L369" s="81" t="str">
        <f t="shared" si="38"/>
        <v>WIN</v>
      </c>
      <c r="M369" s="242">
        <f>IF(COUNTA($F$6:$F$10)=5,(F370-F24)/F24,"")</f>
        <v>0.76244602468498746</v>
      </c>
      <c r="N369" s="238">
        <f t="shared" si="39"/>
        <v>2</v>
      </c>
      <c r="O369" s="14" t="str">
        <f t="shared" si="40"/>
        <v>last</v>
      </c>
      <c r="P369" s="14"/>
      <c r="Q369" s="14"/>
      <c r="R369" s="14"/>
      <c r="S369" s="14"/>
      <c r="T369" s="14"/>
      <c r="U369" s="14"/>
      <c r="V369" s="14"/>
      <c r="W369" s="39">
        <f>IF(AND(L369="WIN",L370&lt;&gt;"WIN"),SUMIF(L$24:L369,"WIN",K$24:K369)-SUM(W$23:W368),"")</f>
        <v>415.49329801272324</v>
      </c>
      <c r="X369" s="41" t="str">
        <f>IF(AND(L369="LOSS",L370&lt;&gt;"LOSS"),SUMIF(L$24:L369,"LOSS",K$24:K369)-SUM(X$23:X368),"")</f>
        <v/>
      </c>
      <c r="Y369" s="8"/>
      <c r="Z369" s="85"/>
      <c r="AA369" s="85"/>
      <c r="AB369" s="85"/>
      <c r="AC369" s="85"/>
      <c r="AD369" s="85"/>
      <c r="AE369" s="85"/>
      <c r="AF369" s="85"/>
      <c r="AG369" s="85"/>
      <c r="AH369" s="85"/>
      <c r="AI369" s="85"/>
      <c r="AJ369" s="85"/>
      <c r="AK369" s="85"/>
      <c r="AL369" s="85"/>
      <c r="AM369" s="85"/>
      <c r="AN369" s="85"/>
      <c r="AO369" s="85"/>
      <c r="AP369" s="85"/>
      <c r="AQ369" s="85"/>
      <c r="AR369" s="85"/>
      <c r="AS369" s="85"/>
      <c r="AT369" s="85"/>
      <c r="AU369" s="85"/>
      <c r="AV369" s="85"/>
      <c r="AW369" s="85"/>
      <c r="AX369" s="85"/>
      <c r="AY369" s="85"/>
      <c r="AZ369" s="85"/>
      <c r="BA369" s="85"/>
    </row>
    <row r="370" spans="1:53" ht="15.75">
      <c r="A370" s="149"/>
      <c r="B370" s="305" t="s">
        <v>414</v>
      </c>
      <c r="C370" s="306"/>
      <c r="D370" s="271">
        <v>91</v>
      </c>
      <c r="E370" s="272"/>
      <c r="F370" s="278">
        <f t="shared" si="41"/>
        <v>17624.460246849874</v>
      </c>
      <c r="G370" s="279"/>
      <c r="H370" s="275">
        <f t="shared" si="37"/>
        <v>176.24460246849875</v>
      </c>
      <c r="I370" s="276"/>
      <c r="J370" s="277"/>
      <c r="K370" s="75">
        <f t="shared" si="42"/>
        <v>-176.24460246849875</v>
      </c>
      <c r="L370" s="81" t="str">
        <f t="shared" si="38"/>
        <v>LOSS</v>
      </c>
      <c r="M370" s="242">
        <f>IF(COUNTA($F$6:$F$10)=5,(F371-F24)/F24,"")</f>
        <v>0.74482156443813763</v>
      </c>
      <c r="N370" s="238">
        <f t="shared" si="39"/>
        <v>1</v>
      </c>
      <c r="O370" s="14" t="str">
        <f t="shared" si="40"/>
        <v>last</v>
      </c>
      <c r="P370" s="14"/>
      <c r="Q370" s="14"/>
      <c r="R370" s="14"/>
      <c r="S370" s="14"/>
      <c r="T370" s="14"/>
      <c r="U370" s="14"/>
      <c r="V370" s="14"/>
      <c r="W370" s="39" t="str">
        <f>IF(AND(L370="WIN",L371&lt;&gt;"WIN"),SUMIF(L$24:L370,"WIN",K$24:K370)-SUM(W$23:W369),"")</f>
        <v/>
      </c>
      <c r="X370" s="41">
        <f>IF(AND(L370="LOSS",L371&lt;&gt;"LOSS"),SUMIF(L$24:L370,"LOSS",K$24:K370)-SUM(X$23:X369),"")</f>
        <v>-176.24460246849776</v>
      </c>
      <c r="Y370" s="8"/>
      <c r="Z370" s="85"/>
      <c r="AA370" s="85"/>
      <c r="AB370" s="85"/>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c r="AZ370" s="85"/>
      <c r="BA370" s="85"/>
    </row>
    <row r="371" spans="1:53" ht="15.75">
      <c r="A371" s="149"/>
      <c r="B371" s="305" t="s">
        <v>415</v>
      </c>
      <c r="C371" s="306"/>
      <c r="D371" s="271">
        <v>17</v>
      </c>
      <c r="E371" s="272"/>
      <c r="F371" s="278">
        <f t="shared" si="41"/>
        <v>17448.215644381376</v>
      </c>
      <c r="G371" s="279"/>
      <c r="H371" s="275">
        <f t="shared" si="37"/>
        <v>174.48215644381378</v>
      </c>
      <c r="I371" s="276"/>
      <c r="J371" s="277"/>
      <c r="K371" s="75">
        <f t="shared" si="42"/>
        <v>209.37858773257653</v>
      </c>
      <c r="L371" s="81" t="str">
        <f t="shared" si="38"/>
        <v>WIN</v>
      </c>
      <c r="M371" s="242">
        <f>IF(COUNTA($F$6:$F$10)=5,(F372-F24)/F24,"")</f>
        <v>0.76575942321139523</v>
      </c>
      <c r="N371" s="238">
        <f t="shared" si="39"/>
        <v>1</v>
      </c>
      <c r="O371" s="14" t="str">
        <f t="shared" si="40"/>
        <v>last</v>
      </c>
      <c r="P371" s="14"/>
      <c r="Q371" s="14"/>
      <c r="R371" s="14"/>
      <c r="S371" s="14"/>
      <c r="T371" s="14"/>
      <c r="U371" s="14"/>
      <c r="V371" s="14"/>
      <c r="W371" s="39">
        <f>IF(AND(L371="WIN",L372&lt;&gt;"WIN"),SUMIF(L$24:L371,"WIN",K$24:K371)-SUM(W$23:W370),"")</f>
        <v>209.3785877325754</v>
      </c>
      <c r="X371" s="41" t="str">
        <f>IF(AND(L371="LOSS",L372&lt;&gt;"LOSS"),SUMIF(L$24:L371,"LOSS",K$24:K371)-SUM(X$23:X370),"")</f>
        <v/>
      </c>
      <c r="Y371" s="8"/>
      <c r="Z371" s="85"/>
      <c r="AA371" s="85"/>
      <c r="AB371" s="85"/>
      <c r="AC371" s="85"/>
      <c r="AD371" s="85"/>
      <c r="AE371" s="85"/>
      <c r="AF371" s="85"/>
      <c r="AG371" s="85"/>
      <c r="AH371" s="85"/>
      <c r="AI371" s="85"/>
      <c r="AJ371" s="85"/>
      <c r="AK371" s="85"/>
      <c r="AL371" s="85"/>
      <c r="AM371" s="85"/>
      <c r="AN371" s="85"/>
      <c r="AO371" s="85"/>
      <c r="AP371" s="85"/>
      <c r="AQ371" s="85"/>
      <c r="AR371" s="85"/>
      <c r="AS371" s="85"/>
      <c r="AT371" s="85"/>
      <c r="AU371" s="85"/>
      <c r="AV371" s="85"/>
      <c r="AW371" s="85"/>
      <c r="AX371" s="85"/>
      <c r="AY371" s="85"/>
      <c r="AZ371" s="85"/>
      <c r="BA371" s="85"/>
    </row>
    <row r="372" spans="1:53" ht="15.75">
      <c r="A372" s="149"/>
      <c r="B372" s="305" t="s">
        <v>416</v>
      </c>
      <c r="C372" s="306"/>
      <c r="D372" s="271">
        <v>82</v>
      </c>
      <c r="E372" s="272"/>
      <c r="F372" s="278">
        <f t="shared" si="41"/>
        <v>17657.594232113952</v>
      </c>
      <c r="G372" s="279"/>
      <c r="H372" s="275">
        <f t="shared" si="37"/>
        <v>176.57594232113954</v>
      </c>
      <c r="I372" s="276"/>
      <c r="J372" s="277"/>
      <c r="K372" s="75">
        <f t="shared" si="42"/>
        <v>-176.57594232113954</v>
      </c>
      <c r="L372" s="81" t="str">
        <f t="shared" si="38"/>
        <v>LOSS</v>
      </c>
      <c r="M372" s="242">
        <f>IF(COUNTA($F$6:$F$10)=5,(F373-F24)/F24,"")</f>
        <v>0.74810182897928135</v>
      </c>
      <c r="N372" s="238">
        <f t="shared" si="39"/>
        <v>1</v>
      </c>
      <c r="O372" s="14" t="str">
        <f t="shared" si="40"/>
        <v>last</v>
      </c>
      <c r="P372" s="14"/>
      <c r="Q372" s="14"/>
      <c r="R372" s="14"/>
      <c r="S372" s="14"/>
      <c r="T372" s="14"/>
      <c r="U372" s="14"/>
      <c r="V372" s="14"/>
      <c r="W372" s="39" t="str">
        <f>IF(AND(L372="WIN",L373&lt;&gt;"WIN"),SUMIF(L$24:L372,"WIN",K$24:K372)-SUM(W$23:W371),"")</f>
        <v/>
      </c>
      <c r="X372" s="41">
        <f>IF(AND(L372="LOSS",L373&lt;&gt;"LOSS"),SUMIF(L$24:L372,"LOSS",K$24:K372)-SUM(X$23:X371),"")</f>
        <v>-176.57594232113843</v>
      </c>
      <c r="Y372" s="8"/>
      <c r="Z372" s="85"/>
      <c r="AA372" s="85"/>
      <c r="AB372" s="85"/>
      <c r="AC372" s="85"/>
      <c r="AD372" s="85"/>
      <c r="AE372" s="85"/>
      <c r="AF372" s="85"/>
      <c r="AG372" s="85"/>
      <c r="AH372" s="85"/>
      <c r="AI372" s="85"/>
      <c r="AJ372" s="85"/>
      <c r="AK372" s="85"/>
      <c r="AL372" s="85"/>
      <c r="AM372" s="85"/>
      <c r="AN372" s="85"/>
      <c r="AO372" s="85"/>
      <c r="AP372" s="85"/>
      <c r="AQ372" s="85"/>
      <c r="AR372" s="85"/>
      <c r="AS372" s="85"/>
      <c r="AT372" s="85"/>
      <c r="AU372" s="85"/>
      <c r="AV372" s="85"/>
      <c r="AW372" s="85"/>
      <c r="AX372" s="85"/>
      <c r="AY372" s="85"/>
      <c r="AZ372" s="85"/>
      <c r="BA372" s="85"/>
    </row>
    <row r="373" spans="1:53" ht="15.75">
      <c r="A373" s="149"/>
      <c r="B373" s="305" t="s">
        <v>417</v>
      </c>
      <c r="C373" s="306"/>
      <c r="D373" s="271">
        <v>17</v>
      </c>
      <c r="E373" s="272"/>
      <c r="F373" s="278">
        <f t="shared" si="41"/>
        <v>17481.018289792813</v>
      </c>
      <c r="G373" s="279"/>
      <c r="H373" s="275">
        <f t="shared" si="37"/>
        <v>174.81018289792814</v>
      </c>
      <c r="I373" s="276"/>
      <c r="J373" s="277"/>
      <c r="K373" s="75">
        <f t="shared" si="42"/>
        <v>209.77221947751377</v>
      </c>
      <c r="L373" s="81" t="str">
        <f t="shared" si="38"/>
        <v>WIN</v>
      </c>
      <c r="M373" s="242">
        <f>IF(COUNTA($F$6:$F$10)=5,(F374-F24)/F24,"")</f>
        <v>0.76907905092703255</v>
      </c>
      <c r="N373" s="238">
        <f t="shared" si="39"/>
        <v>1</v>
      </c>
      <c r="O373" s="14" t="str">
        <f t="shared" si="40"/>
        <v>last</v>
      </c>
      <c r="P373" s="14"/>
      <c r="Q373" s="14"/>
      <c r="R373" s="14"/>
      <c r="S373" s="14"/>
      <c r="T373" s="14"/>
      <c r="U373" s="14"/>
      <c r="V373" s="14"/>
      <c r="W373" s="39">
        <f>IF(AND(L373="WIN",L374&lt;&gt;"WIN"),SUMIF(L$24:L373,"WIN",K$24:K373)-SUM(W$23:W372),"")</f>
        <v>209.77221947751241</v>
      </c>
      <c r="X373" s="41" t="str">
        <f>IF(AND(L373="LOSS",L374&lt;&gt;"LOSS"),SUMIF(L$24:L373,"LOSS",K$24:K373)-SUM(X$23:X372),"")</f>
        <v/>
      </c>
      <c r="Y373" s="8"/>
      <c r="Z373" s="85"/>
      <c r="AA373" s="85"/>
      <c r="AB373" s="85"/>
      <c r="AC373" s="85"/>
      <c r="AD373" s="85"/>
      <c r="AE373" s="85"/>
      <c r="AF373" s="85"/>
      <c r="AG373" s="85"/>
      <c r="AH373" s="85"/>
      <c r="AI373" s="85"/>
      <c r="AJ373" s="85"/>
      <c r="AK373" s="85"/>
      <c r="AL373" s="85"/>
      <c r="AM373" s="85"/>
      <c r="AN373" s="85"/>
      <c r="AO373" s="85"/>
      <c r="AP373" s="85"/>
      <c r="AQ373" s="85"/>
      <c r="AR373" s="85"/>
      <c r="AS373" s="85"/>
      <c r="AT373" s="85"/>
      <c r="AU373" s="85"/>
      <c r="AV373" s="85"/>
      <c r="AW373" s="85"/>
      <c r="AX373" s="85"/>
      <c r="AY373" s="85"/>
      <c r="AZ373" s="85"/>
      <c r="BA373" s="85"/>
    </row>
    <row r="374" spans="1:53" ht="15.75">
      <c r="A374" s="149"/>
      <c r="B374" s="305" t="s">
        <v>418</v>
      </c>
      <c r="C374" s="306"/>
      <c r="D374" s="271">
        <v>90</v>
      </c>
      <c r="E374" s="272"/>
      <c r="F374" s="278">
        <f t="shared" si="41"/>
        <v>17690.790509270326</v>
      </c>
      <c r="G374" s="279"/>
      <c r="H374" s="275">
        <f t="shared" si="37"/>
        <v>176.90790509270326</v>
      </c>
      <c r="I374" s="276"/>
      <c r="J374" s="277"/>
      <c r="K374" s="75">
        <f t="shared" si="42"/>
        <v>-176.90790509270326</v>
      </c>
      <c r="L374" s="81" t="str">
        <f t="shared" si="38"/>
        <v>LOSS</v>
      </c>
      <c r="M374" s="242">
        <f>IF(COUNTA($F$6:$F$10)=5,(F375-F24)/F24,"")</f>
        <v>0.7513882604177623</v>
      </c>
      <c r="N374" s="238">
        <f t="shared" si="39"/>
        <v>1</v>
      </c>
      <c r="O374" s="14" t="str">
        <f t="shared" si="40"/>
        <v>new</v>
      </c>
      <c r="P374" s="14"/>
      <c r="Q374" s="14"/>
      <c r="R374" s="14"/>
      <c r="S374" s="14"/>
      <c r="T374" s="14"/>
      <c r="U374" s="14"/>
      <c r="V374" s="14"/>
      <c r="W374" s="39" t="str">
        <f>IF(AND(L374="WIN",L375&lt;&gt;"WIN"),SUMIF(L$24:L374,"WIN",K$24:K374)-SUM(W$23:W373),"")</f>
        <v/>
      </c>
      <c r="X374" s="41" t="str">
        <f>IF(AND(L374="LOSS",L375&lt;&gt;"LOSS"),SUMIF(L$24:L374,"LOSS",K$24:K374)-SUM(X$23:X373),"")</f>
        <v/>
      </c>
      <c r="Y374" s="8"/>
      <c r="Z374" s="85"/>
      <c r="AA374" s="85"/>
      <c r="AB374" s="85"/>
      <c r="AC374" s="85"/>
      <c r="AD374" s="85"/>
      <c r="AE374" s="85"/>
      <c r="AF374" s="85"/>
      <c r="AG374" s="85"/>
      <c r="AH374" s="85"/>
      <c r="AI374" s="85"/>
      <c r="AJ374" s="85"/>
      <c r="AK374" s="85"/>
      <c r="AL374" s="85"/>
      <c r="AM374" s="85"/>
      <c r="AN374" s="85"/>
      <c r="AO374" s="85"/>
      <c r="AP374" s="85"/>
      <c r="AQ374" s="85"/>
      <c r="AR374" s="85"/>
      <c r="AS374" s="85"/>
      <c r="AT374" s="85"/>
      <c r="AU374" s="85"/>
      <c r="AV374" s="85"/>
      <c r="AW374" s="85"/>
      <c r="AX374" s="85"/>
      <c r="AY374" s="85"/>
      <c r="AZ374" s="85"/>
      <c r="BA374" s="85"/>
    </row>
    <row r="375" spans="1:53" ht="15.75">
      <c r="A375" s="149"/>
      <c r="B375" s="305" t="s">
        <v>419</v>
      </c>
      <c r="C375" s="306"/>
      <c r="D375" s="271">
        <v>77</v>
      </c>
      <c r="E375" s="272"/>
      <c r="F375" s="278">
        <f t="shared" si="41"/>
        <v>17513.882604177623</v>
      </c>
      <c r="G375" s="279"/>
      <c r="H375" s="275">
        <f t="shared" si="37"/>
        <v>175.13882604177624</v>
      </c>
      <c r="I375" s="276"/>
      <c r="J375" s="277"/>
      <c r="K375" s="75">
        <f t="shared" si="42"/>
        <v>-175.13882604177624</v>
      </c>
      <c r="L375" s="81" t="str">
        <f t="shared" si="38"/>
        <v>LOSS</v>
      </c>
      <c r="M375" s="242">
        <f>IF(COUNTA($F$6:$F$10)=5,(F376-F24)/F24,"")</f>
        <v>0.73387437781358456</v>
      </c>
      <c r="N375" s="238">
        <f t="shared" si="39"/>
        <v>2</v>
      </c>
      <c r="O375" s="14" t="str">
        <f t="shared" si="40"/>
        <v>middle</v>
      </c>
      <c r="P375" s="14"/>
      <c r="Q375" s="14"/>
      <c r="R375" s="14"/>
      <c r="S375" s="14"/>
      <c r="T375" s="14"/>
      <c r="U375" s="14"/>
      <c r="V375" s="14"/>
      <c r="W375" s="39" t="str">
        <f>IF(AND(L375="WIN",L376&lt;&gt;"WIN"),SUMIF(L$24:L375,"WIN",K$24:K375)-SUM(W$23:W374),"")</f>
        <v/>
      </c>
      <c r="X375" s="41" t="str">
        <f>IF(AND(L375="LOSS",L376&lt;&gt;"LOSS"),SUMIF(L$24:L375,"LOSS",K$24:K375)-SUM(X$23:X374),"")</f>
        <v/>
      </c>
      <c r="Y375" s="8"/>
      <c r="Z375" s="85"/>
      <c r="AA375" s="85"/>
      <c r="AB375" s="85"/>
      <c r="AC375" s="85"/>
      <c r="AD375" s="85"/>
      <c r="AE375" s="85"/>
      <c r="AF375" s="85"/>
      <c r="AG375" s="85"/>
      <c r="AH375" s="85"/>
      <c r="AI375" s="85"/>
      <c r="AJ375" s="85"/>
      <c r="AK375" s="85"/>
      <c r="AL375" s="85"/>
      <c r="AM375" s="85"/>
      <c r="AN375" s="85"/>
      <c r="AO375" s="85"/>
      <c r="AP375" s="85"/>
      <c r="AQ375" s="85"/>
      <c r="AR375" s="85"/>
      <c r="AS375" s="85"/>
      <c r="AT375" s="85"/>
      <c r="AU375" s="85"/>
      <c r="AV375" s="85"/>
      <c r="AW375" s="85"/>
      <c r="AX375" s="85"/>
      <c r="AY375" s="85"/>
      <c r="AZ375" s="85"/>
      <c r="BA375" s="85"/>
    </row>
    <row r="376" spans="1:53" ht="15.75">
      <c r="A376" s="149"/>
      <c r="B376" s="305" t="s">
        <v>420</v>
      </c>
      <c r="C376" s="306"/>
      <c r="D376" s="271">
        <v>96</v>
      </c>
      <c r="E376" s="272"/>
      <c r="F376" s="278">
        <f t="shared" si="41"/>
        <v>17338.743778135846</v>
      </c>
      <c r="G376" s="279"/>
      <c r="H376" s="275">
        <f t="shared" si="37"/>
        <v>173.38743778135847</v>
      </c>
      <c r="I376" s="276"/>
      <c r="J376" s="277"/>
      <c r="K376" s="75">
        <f t="shared" si="42"/>
        <v>-173.38743778135847</v>
      </c>
      <c r="L376" s="81" t="str">
        <f t="shared" si="38"/>
        <v>LOSS</v>
      </c>
      <c r="M376" s="242">
        <f>IF(COUNTA($F$6:$F$10)=5,(F377-F24)/F24,"")</f>
        <v>0.71653563403544862</v>
      </c>
      <c r="N376" s="238">
        <f t="shared" si="39"/>
        <v>3</v>
      </c>
      <c r="O376" s="14" t="str">
        <f t="shared" si="40"/>
        <v>last</v>
      </c>
      <c r="P376" s="14"/>
      <c r="Q376" s="14"/>
      <c r="R376" s="14"/>
      <c r="S376" s="14"/>
      <c r="T376" s="14"/>
      <c r="U376" s="14"/>
      <c r="V376" s="14"/>
      <c r="W376" s="39" t="str">
        <f>IF(AND(L376="WIN",L377&lt;&gt;"WIN"),SUMIF(L$24:L376,"WIN",K$24:K376)-SUM(W$23:W375),"")</f>
        <v/>
      </c>
      <c r="X376" s="41">
        <f>IF(AND(L376="LOSS",L377&lt;&gt;"LOSS"),SUMIF(L$24:L376,"LOSS",K$24:K376)-SUM(X$23:X375),"")</f>
        <v>-525.43416891583911</v>
      </c>
      <c r="Y376" s="8"/>
      <c r="Z376" s="85"/>
      <c r="AA376" s="85"/>
      <c r="AB376" s="85"/>
      <c r="AC376" s="85"/>
      <c r="AD376" s="85"/>
      <c r="AE376" s="85"/>
      <c r="AF376" s="85"/>
      <c r="AG376" s="85"/>
      <c r="AH376" s="85"/>
      <c r="AI376" s="85"/>
      <c r="AJ376" s="85"/>
      <c r="AK376" s="85"/>
      <c r="AL376" s="85"/>
      <c r="AM376" s="85"/>
      <c r="AN376" s="85"/>
      <c r="AO376" s="85"/>
      <c r="AP376" s="85"/>
      <c r="AQ376" s="85"/>
      <c r="AR376" s="85"/>
      <c r="AS376" s="85"/>
      <c r="AT376" s="85"/>
      <c r="AU376" s="85"/>
      <c r="AV376" s="85"/>
      <c r="AW376" s="85"/>
      <c r="AX376" s="85"/>
      <c r="AY376" s="85"/>
      <c r="AZ376" s="85"/>
      <c r="BA376" s="85"/>
    </row>
    <row r="377" spans="1:53" ht="15.75">
      <c r="A377" s="149"/>
      <c r="B377" s="305" t="s">
        <v>421</v>
      </c>
      <c r="C377" s="306"/>
      <c r="D377" s="271">
        <v>9</v>
      </c>
      <c r="E377" s="272"/>
      <c r="F377" s="278">
        <f t="shared" si="41"/>
        <v>17165.356340354487</v>
      </c>
      <c r="G377" s="279"/>
      <c r="H377" s="275">
        <f t="shared" si="37"/>
        <v>171.65356340354487</v>
      </c>
      <c r="I377" s="276"/>
      <c r="J377" s="277"/>
      <c r="K377" s="75">
        <f t="shared" si="42"/>
        <v>205.98427608425382</v>
      </c>
      <c r="L377" s="81" t="str">
        <f t="shared" si="38"/>
        <v>WIN</v>
      </c>
      <c r="M377" s="242">
        <f>IF(COUNTA($F$6:$F$10)=5,(F378-F24)/F24,"")</f>
        <v>0.73713406164387418</v>
      </c>
      <c r="N377" s="238">
        <f t="shared" si="39"/>
        <v>1</v>
      </c>
      <c r="O377" s="14" t="str">
        <f t="shared" si="40"/>
        <v>last</v>
      </c>
      <c r="P377" s="14"/>
      <c r="Q377" s="14"/>
      <c r="R377" s="14"/>
      <c r="S377" s="14"/>
      <c r="T377" s="14"/>
      <c r="U377" s="14"/>
      <c r="V377" s="14"/>
      <c r="W377" s="39">
        <f>IF(AND(L377="WIN",L378&lt;&gt;"WIN"),SUMIF(L$24:L377,"WIN",K$24:K377)-SUM(W$23:W376),"")</f>
        <v>205.98427608425482</v>
      </c>
      <c r="X377" s="41" t="str">
        <f>IF(AND(L377="LOSS",L378&lt;&gt;"LOSS"),SUMIF(L$24:L377,"LOSS",K$24:K377)-SUM(X$23:X376),"")</f>
        <v/>
      </c>
      <c r="Y377" s="8"/>
      <c r="Z377" s="85"/>
      <c r="AA377" s="85"/>
      <c r="AB377" s="85"/>
      <c r="AC377" s="85"/>
      <c r="AD377" s="85"/>
      <c r="AE377" s="85"/>
      <c r="AF377" s="85"/>
      <c r="AG377" s="85"/>
      <c r="AH377" s="85"/>
      <c r="AI377" s="85"/>
      <c r="AJ377" s="85"/>
      <c r="AK377" s="85"/>
      <c r="AL377" s="85"/>
      <c r="AM377" s="85"/>
      <c r="AN377" s="85"/>
      <c r="AO377" s="85"/>
      <c r="AP377" s="85"/>
      <c r="AQ377" s="85"/>
      <c r="AR377" s="85"/>
      <c r="AS377" s="85"/>
      <c r="AT377" s="85"/>
      <c r="AU377" s="85"/>
      <c r="AV377" s="85"/>
      <c r="AW377" s="85"/>
      <c r="AX377" s="85"/>
      <c r="AY377" s="85"/>
      <c r="AZ377" s="85"/>
      <c r="BA377" s="85"/>
    </row>
    <row r="378" spans="1:53" ht="15.75">
      <c r="A378" s="149"/>
      <c r="B378" s="305" t="s">
        <v>422</v>
      </c>
      <c r="C378" s="306"/>
      <c r="D378" s="271">
        <v>87</v>
      </c>
      <c r="E378" s="272"/>
      <c r="F378" s="278">
        <f t="shared" si="41"/>
        <v>17371.340616438742</v>
      </c>
      <c r="G378" s="279"/>
      <c r="H378" s="275">
        <f t="shared" si="37"/>
        <v>173.71340616438741</v>
      </c>
      <c r="I378" s="276"/>
      <c r="J378" s="277"/>
      <c r="K378" s="75">
        <f t="shared" si="42"/>
        <v>-173.71340616438741</v>
      </c>
      <c r="L378" s="81" t="str">
        <f t="shared" si="38"/>
        <v>LOSS</v>
      </c>
      <c r="M378" s="242">
        <f>IF(COUNTA($F$6:$F$10)=5,(F379-F24)/F24,"")</f>
        <v>0.71976272102743533</v>
      </c>
      <c r="N378" s="238">
        <f t="shared" si="39"/>
        <v>1</v>
      </c>
      <c r="O378" s="14" t="str">
        <f t="shared" si="40"/>
        <v>new</v>
      </c>
      <c r="P378" s="14"/>
      <c r="Q378" s="14"/>
      <c r="R378" s="14"/>
      <c r="S378" s="14"/>
      <c r="T378" s="14"/>
      <c r="U378" s="14"/>
      <c r="V378" s="14"/>
      <c r="W378" s="39" t="str">
        <f>IF(AND(L378="WIN",L379&lt;&gt;"WIN"),SUMIF(L$24:L378,"WIN",K$24:K378)-SUM(W$23:W377),"")</f>
        <v/>
      </c>
      <c r="X378" s="41" t="str">
        <f>IF(AND(L378="LOSS",L379&lt;&gt;"LOSS"),SUMIF(L$24:L378,"LOSS",K$24:K378)-SUM(X$23:X377),"")</f>
        <v/>
      </c>
      <c r="Y378" s="8"/>
      <c r="Z378" s="85"/>
      <c r="AA378" s="85"/>
      <c r="AB378" s="85"/>
      <c r="AC378" s="85"/>
      <c r="AD378" s="85"/>
      <c r="AE378" s="85"/>
      <c r="AF378" s="85"/>
      <c r="AG378" s="85"/>
      <c r="AH378" s="85"/>
      <c r="AI378" s="85"/>
      <c r="AJ378" s="85"/>
      <c r="AK378" s="85"/>
      <c r="AL378" s="85"/>
      <c r="AM378" s="85"/>
      <c r="AN378" s="85"/>
      <c r="AO378" s="85"/>
      <c r="AP378" s="85"/>
      <c r="AQ378" s="85"/>
      <c r="AR378" s="85"/>
      <c r="AS378" s="85"/>
      <c r="AT378" s="85"/>
      <c r="AU378" s="85"/>
      <c r="AV378" s="85"/>
      <c r="AW378" s="85"/>
      <c r="AX378" s="85"/>
      <c r="AY378" s="85"/>
      <c r="AZ378" s="85"/>
      <c r="BA378" s="85"/>
    </row>
    <row r="379" spans="1:53" ht="15.75">
      <c r="A379" s="149"/>
      <c r="B379" s="305" t="s">
        <v>423</v>
      </c>
      <c r="C379" s="306"/>
      <c r="D379" s="271">
        <v>96</v>
      </c>
      <c r="E379" s="272"/>
      <c r="F379" s="278">
        <f t="shared" si="41"/>
        <v>17197.627210274353</v>
      </c>
      <c r="G379" s="279"/>
      <c r="H379" s="275">
        <f t="shared" si="37"/>
        <v>171.97627210274354</v>
      </c>
      <c r="I379" s="276"/>
      <c r="J379" s="277"/>
      <c r="K379" s="75">
        <f t="shared" si="42"/>
        <v>-171.97627210274354</v>
      </c>
      <c r="L379" s="81" t="str">
        <f t="shared" si="38"/>
        <v>LOSS</v>
      </c>
      <c r="M379" s="242">
        <f>IF(COUNTA($F$6:$F$10)=5,(F380-F24)/F24,"")</f>
        <v>0.70256509381716092</v>
      </c>
      <c r="N379" s="238">
        <f t="shared" si="39"/>
        <v>2</v>
      </c>
      <c r="O379" s="14" t="str">
        <f t="shared" si="40"/>
        <v>last</v>
      </c>
      <c r="P379" s="14"/>
      <c r="Q379" s="14"/>
      <c r="R379" s="14"/>
      <c r="S379" s="14"/>
      <c r="T379" s="14"/>
      <c r="U379" s="14"/>
      <c r="V379" s="14"/>
      <c r="W379" s="39" t="str">
        <f>IF(AND(L379="WIN",L380&lt;&gt;"WIN"),SUMIF(L$24:L379,"WIN",K$24:K379)-SUM(W$23:W378),"")</f>
        <v/>
      </c>
      <c r="X379" s="41">
        <f>IF(AND(L379="LOSS",L380&lt;&gt;"LOSS"),SUMIF(L$24:L379,"LOSS",K$24:K379)-SUM(X$23:X378),"")</f>
        <v>-345.68967826713197</v>
      </c>
      <c r="Y379" s="8"/>
      <c r="Z379" s="85"/>
      <c r="AA379" s="85"/>
      <c r="AB379" s="85"/>
      <c r="AC379" s="85"/>
      <c r="AD379" s="85"/>
      <c r="AE379" s="85"/>
      <c r="AF379" s="85"/>
      <c r="AG379" s="85"/>
      <c r="AH379" s="85"/>
      <c r="AI379" s="85"/>
      <c r="AJ379" s="85"/>
      <c r="AK379" s="85"/>
      <c r="AL379" s="85"/>
      <c r="AM379" s="85"/>
      <c r="AN379" s="85"/>
      <c r="AO379" s="85"/>
      <c r="AP379" s="85"/>
      <c r="AQ379" s="85"/>
      <c r="AR379" s="85"/>
      <c r="AS379" s="85"/>
      <c r="AT379" s="85"/>
      <c r="AU379" s="85"/>
      <c r="AV379" s="85"/>
      <c r="AW379" s="85"/>
      <c r="AX379" s="85"/>
      <c r="AY379" s="85"/>
      <c r="AZ379" s="85"/>
      <c r="BA379" s="85"/>
    </row>
    <row r="380" spans="1:53" ht="15.75">
      <c r="A380" s="149"/>
      <c r="B380" s="305" t="s">
        <v>424</v>
      </c>
      <c r="C380" s="306"/>
      <c r="D380" s="271">
        <v>39</v>
      </c>
      <c r="E380" s="272"/>
      <c r="F380" s="278">
        <f t="shared" si="41"/>
        <v>17025.65093817161</v>
      </c>
      <c r="G380" s="279"/>
      <c r="H380" s="275">
        <f t="shared" si="37"/>
        <v>170.25650938171609</v>
      </c>
      <c r="I380" s="276"/>
      <c r="J380" s="277"/>
      <c r="K380" s="75">
        <f t="shared" si="42"/>
        <v>204.3078112580593</v>
      </c>
      <c r="L380" s="81" t="str">
        <f t="shared" si="38"/>
        <v>WIN</v>
      </c>
      <c r="M380" s="242">
        <f>IF(COUNTA($F$6:$F$10)=5,(F381-F24)/F24,"")</f>
        <v>0.7229958749429668</v>
      </c>
      <c r="N380" s="238">
        <f t="shared" si="39"/>
        <v>1</v>
      </c>
      <c r="O380" s="14" t="str">
        <f t="shared" si="40"/>
        <v>new</v>
      </c>
      <c r="P380" s="14"/>
      <c r="Q380" s="14"/>
      <c r="R380" s="14"/>
      <c r="S380" s="14"/>
      <c r="T380" s="14"/>
      <c r="U380" s="14"/>
      <c r="V380" s="14"/>
      <c r="W380" s="39" t="str">
        <f>IF(AND(L380="WIN",L381&lt;&gt;"WIN"),SUMIF(L$24:L380,"WIN",K$24:K380)-SUM(W$23:W379),"")</f>
        <v/>
      </c>
      <c r="X380" s="41" t="str">
        <f>IF(AND(L380="LOSS",L381&lt;&gt;"LOSS"),SUMIF(L$24:L380,"LOSS",K$24:K380)-SUM(X$23:X379),"")</f>
        <v/>
      </c>
      <c r="Y380" s="8"/>
      <c r="Z380" s="85"/>
      <c r="AA380" s="85"/>
      <c r="AB380" s="85"/>
      <c r="AC380" s="85"/>
      <c r="AD380" s="85"/>
      <c r="AE380" s="85"/>
      <c r="AF380" s="85"/>
      <c r="AG380" s="85"/>
      <c r="AH380" s="85"/>
      <c r="AI380" s="85"/>
      <c r="AJ380" s="85"/>
      <c r="AK380" s="85"/>
      <c r="AL380" s="85"/>
      <c r="AM380" s="85"/>
      <c r="AN380" s="85"/>
      <c r="AO380" s="85"/>
      <c r="AP380" s="85"/>
      <c r="AQ380" s="85"/>
      <c r="AR380" s="85"/>
      <c r="AS380" s="85"/>
      <c r="AT380" s="85"/>
      <c r="AU380" s="85"/>
      <c r="AV380" s="85"/>
      <c r="AW380" s="85"/>
      <c r="AX380" s="85"/>
      <c r="AY380" s="85"/>
      <c r="AZ380" s="85"/>
      <c r="BA380" s="85"/>
    </row>
    <row r="381" spans="1:53" ht="15.75">
      <c r="A381" s="149"/>
      <c r="B381" s="305" t="s">
        <v>425</v>
      </c>
      <c r="C381" s="306"/>
      <c r="D381" s="271">
        <v>18</v>
      </c>
      <c r="E381" s="272"/>
      <c r="F381" s="278">
        <f t="shared" si="41"/>
        <v>17229.958749429668</v>
      </c>
      <c r="G381" s="279"/>
      <c r="H381" s="275">
        <f t="shared" si="37"/>
        <v>172.29958749429667</v>
      </c>
      <c r="I381" s="276"/>
      <c r="J381" s="277"/>
      <c r="K381" s="75">
        <f t="shared" si="42"/>
        <v>206.75950499315601</v>
      </c>
      <c r="L381" s="81" t="str">
        <f t="shared" si="38"/>
        <v>WIN</v>
      </c>
      <c r="M381" s="242">
        <f>IF(COUNTA($F$6:$F$10)=5,(F382-F24)/F24,"")</f>
        <v>0.74367182544228239</v>
      </c>
      <c r="N381" s="238">
        <f t="shared" si="39"/>
        <v>2</v>
      </c>
      <c r="O381" s="14" t="str">
        <f t="shared" si="40"/>
        <v>middle</v>
      </c>
      <c r="P381" s="14"/>
      <c r="Q381" s="14"/>
      <c r="R381" s="14"/>
      <c r="S381" s="14"/>
      <c r="T381" s="14"/>
      <c r="U381" s="14"/>
      <c r="V381" s="14"/>
      <c r="W381" s="39" t="str">
        <f>IF(AND(L381="WIN",L382&lt;&gt;"WIN"),SUMIF(L$24:L381,"WIN",K$24:K381)-SUM(W$23:W380),"")</f>
        <v/>
      </c>
      <c r="X381" s="41" t="str">
        <f>IF(AND(L381="LOSS",L382&lt;&gt;"LOSS"),SUMIF(L$24:L381,"LOSS",K$24:K381)-SUM(X$23:X380),"")</f>
        <v/>
      </c>
      <c r="Y381" s="8"/>
      <c r="Z381" s="85"/>
      <c r="AA381" s="85"/>
      <c r="AB381" s="85"/>
      <c r="AC381" s="85"/>
      <c r="AD381" s="85"/>
      <c r="AE381" s="85"/>
      <c r="AF381" s="85"/>
      <c r="AG381" s="85"/>
      <c r="AH381" s="85"/>
      <c r="AI381" s="85"/>
      <c r="AJ381" s="85"/>
      <c r="AK381" s="85"/>
      <c r="AL381" s="85"/>
      <c r="AM381" s="85"/>
      <c r="AN381" s="85"/>
      <c r="AO381" s="85"/>
      <c r="AP381" s="85"/>
      <c r="AQ381" s="85"/>
      <c r="AR381" s="85"/>
      <c r="AS381" s="85"/>
      <c r="AT381" s="85"/>
      <c r="AU381" s="85"/>
      <c r="AV381" s="85"/>
      <c r="AW381" s="85"/>
      <c r="AX381" s="85"/>
      <c r="AY381" s="85"/>
      <c r="AZ381" s="85"/>
      <c r="BA381" s="85"/>
    </row>
    <row r="382" spans="1:53" ht="15.75">
      <c r="A382" s="149"/>
      <c r="B382" s="305" t="s">
        <v>426</v>
      </c>
      <c r="C382" s="306"/>
      <c r="D382" s="271">
        <v>51</v>
      </c>
      <c r="E382" s="272"/>
      <c r="F382" s="278">
        <f t="shared" si="41"/>
        <v>17436.718254422824</v>
      </c>
      <c r="G382" s="279"/>
      <c r="H382" s="275">
        <f t="shared" si="37"/>
        <v>174.36718254422823</v>
      </c>
      <c r="I382" s="276"/>
      <c r="J382" s="277"/>
      <c r="K382" s="75">
        <f t="shared" si="42"/>
        <v>209.24061905307386</v>
      </c>
      <c r="L382" s="81" t="str">
        <f t="shared" si="38"/>
        <v>WIN</v>
      </c>
      <c r="M382" s="242">
        <f>IF(COUNTA($F$6:$F$10)=5,(F383-F24)/F24,"")</f>
        <v>0.76459588734758976</v>
      </c>
      <c r="N382" s="238">
        <f t="shared" si="39"/>
        <v>3</v>
      </c>
      <c r="O382" s="14" t="str">
        <f t="shared" si="40"/>
        <v>middle</v>
      </c>
      <c r="P382" s="14"/>
      <c r="Q382" s="14"/>
      <c r="R382" s="14"/>
      <c r="S382" s="14"/>
      <c r="T382" s="14"/>
      <c r="U382" s="14"/>
      <c r="V382" s="14"/>
      <c r="W382" s="39" t="str">
        <f>IF(AND(L382="WIN",L383&lt;&gt;"WIN"),SUMIF(L$24:L382,"WIN",K$24:K382)-SUM(W$23:W381),"")</f>
        <v/>
      </c>
      <c r="X382" s="41" t="str">
        <f>IF(AND(L382="LOSS",L383&lt;&gt;"LOSS"),SUMIF(L$24:L382,"LOSS",K$24:K382)-SUM(X$23:X381),"")</f>
        <v/>
      </c>
      <c r="Y382" s="8"/>
      <c r="Z382" s="85"/>
      <c r="AA382" s="85"/>
      <c r="AB382" s="85"/>
      <c r="AC382" s="85"/>
      <c r="AD382" s="85"/>
      <c r="AE382" s="85"/>
      <c r="AF382" s="85"/>
      <c r="AG382" s="85"/>
      <c r="AH382" s="85"/>
      <c r="AI382" s="85"/>
      <c r="AJ382" s="85"/>
      <c r="AK382" s="85"/>
      <c r="AL382" s="85"/>
      <c r="AM382" s="85"/>
      <c r="AN382" s="85"/>
      <c r="AO382" s="85"/>
      <c r="AP382" s="85"/>
      <c r="AQ382" s="85"/>
      <c r="AR382" s="85"/>
      <c r="AS382" s="85"/>
      <c r="AT382" s="85"/>
      <c r="AU382" s="85"/>
      <c r="AV382" s="85"/>
      <c r="AW382" s="85"/>
      <c r="AX382" s="85"/>
      <c r="AY382" s="85"/>
      <c r="AZ382" s="85"/>
      <c r="BA382" s="85"/>
    </row>
    <row r="383" spans="1:53" ht="15.75">
      <c r="A383" s="149"/>
      <c r="B383" s="305" t="s">
        <v>427</v>
      </c>
      <c r="C383" s="306"/>
      <c r="D383" s="271">
        <v>53</v>
      </c>
      <c r="E383" s="272"/>
      <c r="F383" s="278">
        <f t="shared" si="41"/>
        <v>17645.958873475898</v>
      </c>
      <c r="G383" s="279"/>
      <c r="H383" s="275">
        <f t="shared" si="37"/>
        <v>176.459588734759</v>
      </c>
      <c r="I383" s="276"/>
      <c r="J383" s="277"/>
      <c r="K383" s="75">
        <f t="shared" si="42"/>
        <v>211.75150648171078</v>
      </c>
      <c r="L383" s="81" t="str">
        <f t="shared" si="38"/>
        <v>WIN</v>
      </c>
      <c r="M383" s="242">
        <f>IF(COUNTA($F$6:$F$10)=5,(F384-F24)/F24,"")</f>
        <v>0.78577103799576109</v>
      </c>
      <c r="N383" s="238">
        <f t="shared" si="39"/>
        <v>4</v>
      </c>
      <c r="O383" s="14" t="str">
        <f t="shared" si="40"/>
        <v>middle</v>
      </c>
      <c r="P383" s="14"/>
      <c r="Q383" s="14"/>
      <c r="R383" s="14"/>
      <c r="S383" s="14"/>
      <c r="T383" s="14"/>
      <c r="U383" s="14"/>
      <c r="V383" s="14"/>
      <c r="W383" s="39" t="str">
        <f>IF(AND(L383="WIN",L384&lt;&gt;"WIN"),SUMIF(L$24:L383,"WIN",K$24:K383)-SUM(W$23:W382),"")</f>
        <v/>
      </c>
      <c r="X383" s="41" t="str">
        <f>IF(AND(L383="LOSS",L384&lt;&gt;"LOSS"),SUMIF(L$24:L383,"LOSS",K$24:K383)-SUM(X$23:X382),"")</f>
        <v/>
      </c>
      <c r="Y383" s="8"/>
      <c r="Z383" s="85"/>
      <c r="AA383" s="85"/>
      <c r="AB383" s="85"/>
      <c r="AC383" s="85"/>
      <c r="AD383" s="85"/>
      <c r="AE383" s="85"/>
      <c r="AF383" s="85"/>
      <c r="AG383" s="85"/>
      <c r="AH383" s="85"/>
      <c r="AI383" s="85"/>
      <c r="AJ383" s="85"/>
      <c r="AK383" s="85"/>
      <c r="AL383" s="85"/>
      <c r="AM383" s="85"/>
      <c r="AN383" s="85"/>
      <c r="AO383" s="85"/>
      <c r="AP383" s="85"/>
      <c r="AQ383" s="85"/>
      <c r="AR383" s="85"/>
      <c r="AS383" s="85"/>
      <c r="AT383" s="85"/>
      <c r="AU383" s="85"/>
      <c r="AV383" s="85"/>
      <c r="AW383" s="85"/>
      <c r="AX383" s="85"/>
      <c r="AY383" s="85"/>
      <c r="AZ383" s="85"/>
      <c r="BA383" s="85"/>
    </row>
    <row r="384" spans="1:53" ht="15.75">
      <c r="A384" s="149"/>
      <c r="B384" s="305" t="s">
        <v>428</v>
      </c>
      <c r="C384" s="306"/>
      <c r="D384" s="271">
        <v>42</v>
      </c>
      <c r="E384" s="272"/>
      <c r="F384" s="278">
        <f t="shared" si="41"/>
        <v>17857.710379957611</v>
      </c>
      <c r="G384" s="279"/>
      <c r="H384" s="275">
        <f t="shared" si="37"/>
        <v>178.57710379957612</v>
      </c>
      <c r="I384" s="276"/>
      <c r="J384" s="277"/>
      <c r="K384" s="75">
        <f t="shared" si="42"/>
        <v>214.29252455949134</v>
      </c>
      <c r="L384" s="81" t="str">
        <f t="shared" si="38"/>
        <v>WIN</v>
      </c>
      <c r="M384" s="242">
        <f>IF(COUNTA($F$6:$F$10)=5,(F385-F24)/F24,"")</f>
        <v>0.80720029045171027</v>
      </c>
      <c r="N384" s="238">
        <f t="shared" si="39"/>
        <v>5</v>
      </c>
      <c r="O384" s="14" t="str">
        <f t="shared" si="40"/>
        <v>middle</v>
      </c>
      <c r="P384" s="14"/>
      <c r="Q384" s="14"/>
      <c r="R384" s="14"/>
      <c r="S384" s="14"/>
      <c r="T384" s="14"/>
      <c r="U384" s="14"/>
      <c r="V384" s="14"/>
      <c r="W384" s="39" t="str">
        <f>IF(AND(L384="WIN",L385&lt;&gt;"WIN"),SUMIF(L$24:L384,"WIN",K$24:K384)-SUM(W$23:W383),"")</f>
        <v/>
      </c>
      <c r="X384" s="41" t="str">
        <f>IF(AND(L384="LOSS",L385&lt;&gt;"LOSS"),SUMIF(L$24:L384,"LOSS",K$24:K384)-SUM(X$23:X383),"")</f>
        <v/>
      </c>
      <c r="Y384" s="8"/>
      <c r="Z384" s="85"/>
      <c r="AA384" s="85"/>
      <c r="AB384" s="85"/>
      <c r="AC384" s="85"/>
      <c r="AD384" s="85"/>
      <c r="AE384" s="85"/>
      <c r="AF384" s="85"/>
      <c r="AG384" s="85"/>
      <c r="AH384" s="85"/>
      <c r="AI384" s="85"/>
      <c r="AJ384" s="85"/>
      <c r="AK384" s="85"/>
      <c r="AL384" s="85"/>
      <c r="AM384" s="85"/>
      <c r="AN384" s="85"/>
      <c r="AO384" s="85"/>
      <c r="AP384" s="85"/>
      <c r="AQ384" s="85"/>
      <c r="AR384" s="85"/>
      <c r="AS384" s="85"/>
      <c r="AT384" s="85"/>
      <c r="AU384" s="85"/>
      <c r="AV384" s="85"/>
      <c r="AW384" s="85"/>
      <c r="AX384" s="85"/>
      <c r="AY384" s="85"/>
      <c r="AZ384" s="85"/>
      <c r="BA384" s="85"/>
    </row>
    <row r="385" spans="1:53" ht="15.75">
      <c r="A385" s="149"/>
      <c r="B385" s="305" t="s">
        <v>429</v>
      </c>
      <c r="C385" s="306"/>
      <c r="D385" s="271">
        <v>2</v>
      </c>
      <c r="E385" s="272"/>
      <c r="F385" s="278">
        <f t="shared" si="41"/>
        <v>18072.002904517103</v>
      </c>
      <c r="G385" s="279"/>
      <c r="H385" s="275">
        <f t="shared" si="37"/>
        <v>180.72002904517103</v>
      </c>
      <c r="I385" s="276"/>
      <c r="J385" s="277"/>
      <c r="K385" s="75">
        <f t="shared" si="42"/>
        <v>216.86403485420524</v>
      </c>
      <c r="L385" s="81" t="str">
        <f t="shared" si="38"/>
        <v>WIN</v>
      </c>
      <c r="M385" s="242">
        <f>IF(COUNTA($F$6:$F$10)=5,(F386-F24)/F24,"")</f>
        <v>0.82888669393713099</v>
      </c>
      <c r="N385" s="238">
        <f t="shared" si="39"/>
        <v>6</v>
      </c>
      <c r="O385" s="14" t="str">
        <f t="shared" si="40"/>
        <v>middle</v>
      </c>
      <c r="P385" s="14"/>
      <c r="Q385" s="14"/>
      <c r="R385" s="14"/>
      <c r="S385" s="14"/>
      <c r="T385" s="14"/>
      <c r="U385" s="14"/>
      <c r="V385" s="14"/>
      <c r="W385" s="39" t="str">
        <f>IF(AND(L385="WIN",L386&lt;&gt;"WIN"),SUMIF(L$24:L385,"WIN",K$24:K385)-SUM(W$23:W384),"")</f>
        <v/>
      </c>
      <c r="X385" s="41" t="str">
        <f>IF(AND(L385="LOSS",L386&lt;&gt;"LOSS"),SUMIF(L$24:L385,"LOSS",K$24:K385)-SUM(X$23:X384),"")</f>
        <v/>
      </c>
      <c r="Y385" s="8"/>
      <c r="Z385" s="85"/>
      <c r="AA385" s="85"/>
      <c r="AB385" s="85"/>
      <c r="AC385" s="85"/>
      <c r="AD385" s="85"/>
      <c r="AE385" s="85"/>
      <c r="AF385" s="85"/>
      <c r="AG385" s="85"/>
      <c r="AH385" s="85"/>
      <c r="AI385" s="85"/>
      <c r="AJ385" s="85"/>
      <c r="AK385" s="85"/>
      <c r="AL385" s="85"/>
      <c r="AM385" s="85"/>
      <c r="AN385" s="85"/>
      <c r="AO385" s="85"/>
      <c r="AP385" s="85"/>
      <c r="AQ385" s="85"/>
      <c r="AR385" s="85"/>
      <c r="AS385" s="85"/>
      <c r="AT385" s="85"/>
      <c r="AU385" s="85"/>
      <c r="AV385" s="85"/>
      <c r="AW385" s="85"/>
      <c r="AX385" s="85"/>
      <c r="AY385" s="85"/>
      <c r="AZ385" s="85"/>
      <c r="BA385" s="85"/>
    </row>
    <row r="386" spans="1:53" ht="15.75">
      <c r="A386" s="149"/>
      <c r="B386" s="305" t="s">
        <v>430</v>
      </c>
      <c r="C386" s="306"/>
      <c r="D386" s="271">
        <v>33</v>
      </c>
      <c r="E386" s="272"/>
      <c r="F386" s="278">
        <f t="shared" si="41"/>
        <v>18288.86693937131</v>
      </c>
      <c r="G386" s="279"/>
      <c r="H386" s="275">
        <f t="shared" si="37"/>
        <v>182.88866939371312</v>
      </c>
      <c r="I386" s="276"/>
      <c r="J386" s="277"/>
      <c r="K386" s="75">
        <f t="shared" si="42"/>
        <v>219.46640327245572</v>
      </c>
      <c r="L386" s="81" t="str">
        <f t="shared" si="38"/>
        <v>WIN</v>
      </c>
      <c r="M386" s="242">
        <f>IF(COUNTA($F$6:$F$10)=5,(F387-F24)/F24,"")</f>
        <v>0.85083333426437679</v>
      </c>
      <c r="N386" s="238">
        <f t="shared" si="39"/>
        <v>7</v>
      </c>
      <c r="O386" s="14" t="str">
        <f t="shared" si="40"/>
        <v>last</v>
      </c>
      <c r="P386" s="14"/>
      <c r="Q386" s="14"/>
      <c r="R386" s="14"/>
      <c r="S386" s="14"/>
      <c r="T386" s="14"/>
      <c r="U386" s="14"/>
      <c r="V386" s="14"/>
      <c r="W386" s="39">
        <f>IF(AND(L386="WIN",L387&lt;&gt;"WIN"),SUMIF(L$24:L386,"WIN",K$24:K386)-SUM(W$23:W385),"")</f>
        <v>1482.6824044721543</v>
      </c>
      <c r="X386" s="41" t="str">
        <f>IF(AND(L386="LOSS",L387&lt;&gt;"LOSS"),SUMIF(L$24:L386,"LOSS",K$24:K386)-SUM(X$23:X385),"")</f>
        <v/>
      </c>
      <c r="Y386" s="8"/>
      <c r="Z386" s="85"/>
      <c r="AA386" s="85"/>
      <c r="AB386" s="85"/>
      <c r="AC386" s="85"/>
      <c r="AD386" s="85"/>
      <c r="AE386" s="85"/>
      <c r="AF386" s="85"/>
      <c r="AG386" s="85"/>
      <c r="AH386" s="85"/>
      <c r="AI386" s="85"/>
      <c r="AJ386" s="85"/>
      <c r="AK386" s="85"/>
      <c r="AL386" s="85"/>
      <c r="AM386" s="85"/>
      <c r="AN386" s="85"/>
      <c r="AO386" s="85"/>
      <c r="AP386" s="85"/>
      <c r="AQ386" s="85"/>
      <c r="AR386" s="85"/>
      <c r="AS386" s="85"/>
      <c r="AT386" s="85"/>
      <c r="AU386" s="85"/>
      <c r="AV386" s="85"/>
      <c r="AW386" s="85"/>
      <c r="AX386" s="85"/>
      <c r="AY386" s="85"/>
      <c r="AZ386" s="85"/>
      <c r="BA386" s="85"/>
    </row>
    <row r="387" spans="1:53" ht="15.75">
      <c r="A387" s="149"/>
      <c r="B387" s="305" t="s">
        <v>431</v>
      </c>
      <c r="C387" s="306"/>
      <c r="D387" s="271">
        <v>57</v>
      </c>
      <c r="E387" s="272"/>
      <c r="F387" s="278">
        <f t="shared" si="41"/>
        <v>18508.333342643768</v>
      </c>
      <c r="G387" s="279"/>
      <c r="H387" s="275">
        <f t="shared" si="37"/>
        <v>185.08333342643769</v>
      </c>
      <c r="I387" s="276"/>
      <c r="J387" s="277"/>
      <c r="K387" s="75">
        <f t="shared" si="42"/>
        <v>-185.08333342643769</v>
      </c>
      <c r="L387" s="81" t="str">
        <f t="shared" si="38"/>
        <v>LOSS</v>
      </c>
      <c r="M387" s="242">
        <f>IF(COUNTA($F$6:$F$10)=5,(F388-F24)/F24,"")</f>
        <v>0.83232500092173289</v>
      </c>
      <c r="N387" s="238">
        <f t="shared" si="39"/>
        <v>1</v>
      </c>
      <c r="O387" s="14" t="str">
        <f t="shared" si="40"/>
        <v>new</v>
      </c>
      <c r="P387" s="14"/>
      <c r="Q387" s="14"/>
      <c r="R387" s="14"/>
      <c r="S387" s="14"/>
      <c r="T387" s="14"/>
      <c r="U387" s="14"/>
      <c r="V387" s="14"/>
      <c r="W387" s="39" t="str">
        <f>IF(AND(L387="WIN",L388&lt;&gt;"WIN"),SUMIF(L$24:L387,"WIN",K$24:K387)-SUM(W$23:W386),"")</f>
        <v/>
      </c>
      <c r="X387" s="41" t="str">
        <f>IF(AND(L387="LOSS",L388&lt;&gt;"LOSS"),SUMIF(L$24:L387,"LOSS",K$24:K387)-SUM(X$23:X386),"")</f>
        <v/>
      </c>
      <c r="Y387" s="8"/>
      <c r="Z387" s="85"/>
      <c r="AA387" s="85"/>
      <c r="AB387" s="85"/>
      <c r="AC387" s="85"/>
      <c r="AD387" s="85"/>
      <c r="AE387" s="85"/>
      <c r="AF387" s="85"/>
      <c r="AG387" s="85"/>
      <c r="AH387" s="85"/>
      <c r="AI387" s="85"/>
      <c r="AJ387" s="85"/>
      <c r="AK387" s="85"/>
      <c r="AL387" s="85"/>
      <c r="AM387" s="85"/>
      <c r="AN387" s="85"/>
      <c r="AO387" s="85"/>
      <c r="AP387" s="85"/>
      <c r="AQ387" s="85"/>
      <c r="AR387" s="85"/>
      <c r="AS387" s="85"/>
      <c r="AT387" s="85"/>
      <c r="AU387" s="85"/>
      <c r="AV387" s="85"/>
      <c r="AW387" s="85"/>
      <c r="AX387" s="85"/>
      <c r="AY387" s="85"/>
      <c r="AZ387" s="85"/>
      <c r="BA387" s="85"/>
    </row>
    <row r="388" spans="1:53" ht="15.75">
      <c r="A388" s="149"/>
      <c r="B388" s="305" t="s">
        <v>432</v>
      </c>
      <c r="C388" s="306"/>
      <c r="D388" s="271">
        <v>70</v>
      </c>
      <c r="E388" s="272"/>
      <c r="F388" s="278">
        <f t="shared" si="41"/>
        <v>18323.250009217329</v>
      </c>
      <c r="G388" s="279"/>
      <c r="H388" s="275">
        <f t="shared" si="37"/>
        <v>183.2325000921733</v>
      </c>
      <c r="I388" s="276"/>
      <c r="J388" s="277"/>
      <c r="K388" s="75">
        <f t="shared" si="42"/>
        <v>-183.2325000921733</v>
      </c>
      <c r="L388" s="81" t="str">
        <f t="shared" si="38"/>
        <v>LOSS</v>
      </c>
      <c r="M388" s="242">
        <f>IF(COUNTA($F$6:$F$10)=5,(F389-F24)/F24,"")</f>
        <v>0.81400175091251548</v>
      </c>
      <c r="N388" s="238">
        <f t="shared" si="39"/>
        <v>2</v>
      </c>
      <c r="O388" s="14" t="str">
        <f t="shared" si="40"/>
        <v>middle</v>
      </c>
      <c r="P388" s="14"/>
      <c r="Q388" s="14"/>
      <c r="R388" s="14"/>
      <c r="S388" s="14"/>
      <c r="T388" s="14"/>
      <c r="U388" s="14"/>
      <c r="V388" s="14"/>
      <c r="W388" s="39" t="str">
        <f>IF(AND(L388="WIN",L389&lt;&gt;"WIN"),SUMIF(L$24:L388,"WIN",K$24:K388)-SUM(W$23:W387),"")</f>
        <v/>
      </c>
      <c r="X388" s="41" t="str">
        <f>IF(AND(L388="LOSS",L389&lt;&gt;"LOSS"),SUMIF(L$24:L388,"LOSS",K$24:K388)-SUM(X$23:X387),"")</f>
        <v/>
      </c>
      <c r="Y388" s="8"/>
      <c r="Z388" s="85"/>
      <c r="AA388" s="85"/>
      <c r="AB388" s="85"/>
      <c r="AC388" s="85"/>
      <c r="AD388" s="85"/>
      <c r="AE388" s="85"/>
      <c r="AF388" s="85"/>
      <c r="AG388" s="85"/>
      <c r="AH388" s="85"/>
      <c r="AI388" s="85"/>
      <c r="AJ388" s="85"/>
      <c r="AK388" s="85"/>
      <c r="AL388" s="85"/>
      <c r="AM388" s="85"/>
      <c r="AN388" s="85"/>
      <c r="AO388" s="85"/>
      <c r="AP388" s="85"/>
      <c r="AQ388" s="85"/>
      <c r="AR388" s="85"/>
      <c r="AS388" s="85"/>
      <c r="AT388" s="85"/>
      <c r="AU388" s="85"/>
      <c r="AV388" s="85"/>
      <c r="AW388" s="85"/>
      <c r="AX388" s="85"/>
      <c r="AY388" s="85"/>
      <c r="AZ388" s="85"/>
      <c r="BA388" s="85"/>
    </row>
    <row r="389" spans="1:53" ht="15.75">
      <c r="A389" s="149"/>
      <c r="B389" s="305" t="s">
        <v>433</v>
      </c>
      <c r="C389" s="306"/>
      <c r="D389" s="271">
        <v>93</v>
      </c>
      <c r="E389" s="272"/>
      <c r="F389" s="278">
        <f t="shared" si="41"/>
        <v>18140.017509125155</v>
      </c>
      <c r="G389" s="279"/>
      <c r="H389" s="275">
        <f t="shared" si="37"/>
        <v>181.40017509125155</v>
      </c>
      <c r="I389" s="276"/>
      <c r="J389" s="277"/>
      <c r="K389" s="75">
        <f t="shared" si="42"/>
        <v>-181.40017509125155</v>
      </c>
      <c r="L389" s="81" t="str">
        <f t="shared" si="38"/>
        <v>LOSS</v>
      </c>
      <c r="M389" s="242">
        <f>IF(COUNTA($F$6:$F$10)=5,(F390-F24)/F24,"")</f>
        <v>0.7958617334033905</v>
      </c>
      <c r="N389" s="238">
        <f t="shared" si="39"/>
        <v>3</v>
      </c>
      <c r="O389" s="14" t="str">
        <f t="shared" si="40"/>
        <v>last</v>
      </c>
      <c r="P389" s="14"/>
      <c r="Q389" s="14"/>
      <c r="R389" s="14"/>
      <c r="S389" s="14"/>
      <c r="T389" s="14"/>
      <c r="U389" s="14"/>
      <c r="V389" s="14"/>
      <c r="W389" s="39" t="str">
        <f>IF(AND(L389="WIN",L390&lt;&gt;"WIN"),SUMIF(L$24:L389,"WIN",K$24:K389)-SUM(W$23:W388),"")</f>
        <v/>
      </c>
      <c r="X389" s="41">
        <f>IF(AND(L389="LOSS",L390&lt;&gt;"LOSS"),SUMIF(L$24:L389,"LOSS",K$24:K389)-SUM(X$23:X388),"")</f>
        <v>-549.71600860986291</v>
      </c>
      <c r="Y389" s="8"/>
      <c r="Z389" s="85"/>
      <c r="AA389" s="85"/>
      <c r="AB389" s="85"/>
      <c r="AC389" s="85"/>
      <c r="AD389" s="85"/>
      <c r="AE389" s="85"/>
      <c r="AF389" s="85"/>
      <c r="AG389" s="85"/>
      <c r="AH389" s="85"/>
      <c r="AI389" s="85"/>
      <c r="AJ389" s="85"/>
      <c r="AK389" s="85"/>
      <c r="AL389" s="85"/>
      <c r="AM389" s="85"/>
      <c r="AN389" s="85"/>
      <c r="AO389" s="85"/>
      <c r="AP389" s="85"/>
      <c r="AQ389" s="85"/>
      <c r="AR389" s="85"/>
      <c r="AS389" s="85"/>
      <c r="AT389" s="85"/>
      <c r="AU389" s="85"/>
      <c r="AV389" s="85"/>
      <c r="AW389" s="85"/>
      <c r="AX389" s="85"/>
      <c r="AY389" s="85"/>
      <c r="AZ389" s="85"/>
      <c r="BA389" s="85"/>
    </row>
    <row r="390" spans="1:53" ht="15.75">
      <c r="A390" s="149"/>
      <c r="B390" s="305" t="s">
        <v>434</v>
      </c>
      <c r="C390" s="306"/>
      <c r="D390" s="271">
        <v>1</v>
      </c>
      <c r="E390" s="272"/>
      <c r="F390" s="278">
        <f t="shared" si="41"/>
        <v>17958.617334033905</v>
      </c>
      <c r="G390" s="279"/>
      <c r="H390" s="275">
        <f t="shared" si="37"/>
        <v>179.58617334033906</v>
      </c>
      <c r="I390" s="276"/>
      <c r="J390" s="277"/>
      <c r="K390" s="75">
        <f t="shared" si="42"/>
        <v>215.50340800840686</v>
      </c>
      <c r="L390" s="81" t="str">
        <f t="shared" si="38"/>
        <v>WIN</v>
      </c>
      <c r="M390" s="242">
        <f>IF(COUNTA($F$6:$F$10)=5,(F391-F24)/F24,"")</f>
        <v>0.81741207420423123</v>
      </c>
      <c r="N390" s="238">
        <f t="shared" si="39"/>
        <v>1</v>
      </c>
      <c r="O390" s="14" t="str">
        <f t="shared" si="40"/>
        <v>last</v>
      </c>
      <c r="P390" s="14"/>
      <c r="Q390" s="14"/>
      <c r="R390" s="14"/>
      <c r="S390" s="14"/>
      <c r="T390" s="14"/>
      <c r="U390" s="14"/>
      <c r="V390" s="14"/>
      <c r="W390" s="39">
        <f>IF(AND(L390="WIN",L391&lt;&gt;"WIN"),SUMIF(L$24:L390,"WIN",K$24:K390)-SUM(W$23:W389),"")</f>
        <v>215.50340800840786</v>
      </c>
      <c r="X390" s="41" t="str">
        <f>IF(AND(L390="LOSS",L391&lt;&gt;"LOSS"),SUMIF(L$24:L390,"LOSS",K$24:K390)-SUM(X$23:X389),"")</f>
        <v/>
      </c>
      <c r="Y390" s="8"/>
      <c r="Z390" s="85"/>
      <c r="AA390" s="85"/>
      <c r="AB390" s="85"/>
      <c r="AC390" s="85"/>
      <c r="AD390" s="85"/>
      <c r="AE390" s="85"/>
      <c r="AF390" s="85"/>
      <c r="AG390" s="85"/>
      <c r="AH390" s="85"/>
      <c r="AI390" s="85"/>
      <c r="AJ390" s="85"/>
      <c r="AK390" s="85"/>
      <c r="AL390" s="85"/>
      <c r="AM390" s="85"/>
      <c r="AN390" s="85"/>
      <c r="AO390" s="85"/>
      <c r="AP390" s="85"/>
      <c r="AQ390" s="85"/>
      <c r="AR390" s="85"/>
      <c r="AS390" s="85"/>
      <c r="AT390" s="85"/>
      <c r="AU390" s="85"/>
      <c r="AV390" s="85"/>
      <c r="AW390" s="85"/>
      <c r="AX390" s="85"/>
      <c r="AY390" s="85"/>
      <c r="AZ390" s="85"/>
      <c r="BA390" s="85"/>
    </row>
    <row r="391" spans="1:53" ht="15.75">
      <c r="A391" s="149"/>
      <c r="B391" s="305" t="s">
        <v>435</v>
      </c>
      <c r="C391" s="306"/>
      <c r="D391" s="271">
        <v>91</v>
      </c>
      <c r="E391" s="272"/>
      <c r="F391" s="278">
        <f t="shared" si="41"/>
        <v>18174.120742042312</v>
      </c>
      <c r="G391" s="279"/>
      <c r="H391" s="275">
        <f t="shared" si="37"/>
        <v>181.74120742042314</v>
      </c>
      <c r="I391" s="276"/>
      <c r="J391" s="277"/>
      <c r="K391" s="75">
        <f t="shared" si="42"/>
        <v>-181.74120742042314</v>
      </c>
      <c r="L391" s="81" t="str">
        <f t="shared" si="38"/>
        <v>LOSS</v>
      </c>
      <c r="M391" s="242">
        <f>IF(COUNTA($F$6:$F$10)=5,(F392-F24)/F24,"")</f>
        <v>0.79923795346218907</v>
      </c>
      <c r="N391" s="238">
        <f t="shared" si="39"/>
        <v>1</v>
      </c>
      <c r="O391" s="14" t="str">
        <f t="shared" si="40"/>
        <v>new</v>
      </c>
      <c r="P391" s="14"/>
      <c r="Q391" s="14"/>
      <c r="R391" s="14"/>
      <c r="S391" s="14"/>
      <c r="T391" s="14"/>
      <c r="U391" s="14"/>
      <c r="V391" s="14"/>
      <c r="W391" s="39" t="str">
        <f>IF(AND(L391="WIN",L392&lt;&gt;"WIN"),SUMIF(L$24:L391,"WIN",K$24:K391)-SUM(W$23:W390),"")</f>
        <v/>
      </c>
      <c r="X391" s="41" t="str">
        <f>IF(AND(L391="LOSS",L392&lt;&gt;"LOSS"),SUMIF(L$24:L391,"LOSS",K$24:K391)-SUM(X$23:X390),"")</f>
        <v/>
      </c>
      <c r="Y391" s="8"/>
      <c r="Z391" s="85"/>
      <c r="AA391" s="85"/>
      <c r="AB391" s="85"/>
      <c r="AC391" s="85"/>
      <c r="AD391" s="85"/>
      <c r="AE391" s="85"/>
      <c r="AF391" s="85"/>
      <c r="AG391" s="85"/>
      <c r="AH391" s="85"/>
      <c r="AI391" s="85"/>
      <c r="AJ391" s="85"/>
      <c r="AK391" s="85"/>
      <c r="AL391" s="85"/>
      <c r="AM391" s="85"/>
      <c r="AN391" s="85"/>
      <c r="AO391" s="85"/>
      <c r="AP391" s="85"/>
      <c r="AQ391" s="85"/>
      <c r="AR391" s="85"/>
      <c r="AS391" s="85"/>
      <c r="AT391" s="85"/>
      <c r="AU391" s="85"/>
      <c r="AV391" s="85"/>
      <c r="AW391" s="85"/>
      <c r="AX391" s="85"/>
      <c r="AY391" s="85"/>
      <c r="AZ391" s="85"/>
      <c r="BA391" s="85"/>
    </row>
    <row r="392" spans="1:53" ht="15.75">
      <c r="A392" s="149"/>
      <c r="B392" s="305" t="s">
        <v>436</v>
      </c>
      <c r="C392" s="306"/>
      <c r="D392" s="271">
        <v>72</v>
      </c>
      <c r="E392" s="272"/>
      <c r="F392" s="278">
        <f t="shared" si="41"/>
        <v>17992.37953462189</v>
      </c>
      <c r="G392" s="279"/>
      <c r="H392" s="275">
        <f t="shared" si="37"/>
        <v>179.9237953462189</v>
      </c>
      <c r="I392" s="276"/>
      <c r="J392" s="277"/>
      <c r="K392" s="75">
        <f t="shared" si="42"/>
        <v>-179.9237953462189</v>
      </c>
      <c r="L392" s="81" t="str">
        <f t="shared" si="38"/>
        <v>LOSS</v>
      </c>
      <c r="M392" s="242">
        <f>IF(COUNTA($F$6:$F$10)=5,(F393-F24)/F24,"")</f>
        <v>0.78124557392756722</v>
      </c>
      <c r="N392" s="238">
        <f t="shared" si="39"/>
        <v>2</v>
      </c>
      <c r="O392" s="14" t="str">
        <f t="shared" si="40"/>
        <v>middle</v>
      </c>
      <c r="P392" s="14"/>
      <c r="Q392" s="14"/>
      <c r="R392" s="14"/>
      <c r="S392" s="14"/>
      <c r="T392" s="14"/>
      <c r="U392" s="14"/>
      <c r="V392" s="14"/>
      <c r="W392" s="39" t="str">
        <f>IF(AND(L392="WIN",L393&lt;&gt;"WIN"),SUMIF(L$24:L392,"WIN",K$24:K392)-SUM(W$23:W391),"")</f>
        <v/>
      </c>
      <c r="X392" s="41" t="str">
        <f>IF(AND(L392="LOSS",L393&lt;&gt;"LOSS"),SUMIF(L$24:L392,"LOSS",K$24:K392)-SUM(X$23:X391),"")</f>
        <v/>
      </c>
      <c r="Y392" s="8"/>
      <c r="Z392" s="85"/>
      <c r="AA392" s="85"/>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c r="AZ392" s="85"/>
      <c r="BA392" s="85"/>
    </row>
    <row r="393" spans="1:53" ht="15.75">
      <c r="A393" s="149"/>
      <c r="B393" s="305" t="s">
        <v>437</v>
      </c>
      <c r="C393" s="306"/>
      <c r="D393" s="271">
        <v>84</v>
      </c>
      <c r="E393" s="272"/>
      <c r="F393" s="278">
        <f t="shared" si="41"/>
        <v>17812.455739275672</v>
      </c>
      <c r="G393" s="279"/>
      <c r="H393" s="275">
        <f t="shared" si="37"/>
        <v>178.12455739275671</v>
      </c>
      <c r="I393" s="276"/>
      <c r="J393" s="277"/>
      <c r="K393" s="75">
        <f t="shared" si="42"/>
        <v>-178.12455739275671</v>
      </c>
      <c r="L393" s="81" t="str">
        <f t="shared" si="38"/>
        <v>LOSS</v>
      </c>
      <c r="M393" s="242">
        <f>IF(COUNTA($F$6:$F$10)=5,(F394-F24)/F24,"")</f>
        <v>0.76343311818829174</v>
      </c>
      <c r="N393" s="238">
        <f t="shared" si="39"/>
        <v>3</v>
      </c>
      <c r="O393" s="14" t="str">
        <f t="shared" si="40"/>
        <v>last</v>
      </c>
      <c r="P393" s="14"/>
      <c r="Q393" s="14"/>
      <c r="R393" s="14"/>
      <c r="S393" s="14"/>
      <c r="T393" s="14"/>
      <c r="U393" s="14"/>
      <c r="V393" s="14"/>
      <c r="W393" s="39" t="str">
        <f>IF(AND(L393="WIN",L394&lt;&gt;"WIN"),SUMIF(L$24:L393,"WIN",K$24:K393)-SUM(W$23:W392),"")</f>
        <v/>
      </c>
      <c r="X393" s="41">
        <f>IF(AND(L393="LOSS",L394&lt;&gt;"LOSS"),SUMIF(L$24:L393,"LOSS",K$24:K393)-SUM(X$23:X392),"")</f>
        <v>-539.78956015939548</v>
      </c>
      <c r="Y393" s="8"/>
      <c r="Z393" s="85"/>
      <c r="AA393" s="85"/>
      <c r="AB393" s="85"/>
      <c r="AC393" s="85"/>
      <c r="AD393" s="85"/>
      <c r="AE393" s="85"/>
      <c r="AF393" s="85"/>
      <c r="AG393" s="85"/>
      <c r="AH393" s="85"/>
      <c r="AI393" s="85"/>
      <c r="AJ393" s="85"/>
      <c r="AK393" s="85"/>
      <c r="AL393" s="85"/>
      <c r="AM393" s="85"/>
      <c r="AN393" s="85"/>
      <c r="AO393" s="85"/>
      <c r="AP393" s="85"/>
      <c r="AQ393" s="85"/>
      <c r="AR393" s="85"/>
      <c r="AS393" s="85"/>
      <c r="AT393" s="85"/>
      <c r="AU393" s="85"/>
      <c r="AV393" s="85"/>
      <c r="AW393" s="85"/>
      <c r="AX393" s="85"/>
      <c r="AY393" s="85"/>
      <c r="AZ393" s="85"/>
      <c r="BA393" s="85"/>
    </row>
    <row r="394" spans="1:53" ht="15.75">
      <c r="A394" s="149"/>
      <c r="B394" s="305" t="s">
        <v>438</v>
      </c>
      <c r="C394" s="306"/>
      <c r="D394" s="271">
        <v>43</v>
      </c>
      <c r="E394" s="272"/>
      <c r="F394" s="278">
        <f t="shared" si="41"/>
        <v>17634.331181882917</v>
      </c>
      <c r="G394" s="279"/>
      <c r="H394" s="275">
        <f t="shared" si="37"/>
        <v>176.34331181882916</v>
      </c>
      <c r="I394" s="276"/>
      <c r="J394" s="277"/>
      <c r="K394" s="75">
        <f t="shared" si="42"/>
        <v>211.61197418259499</v>
      </c>
      <c r="L394" s="81" t="str">
        <f t="shared" si="38"/>
        <v>WIN</v>
      </c>
      <c r="M394" s="242">
        <f>IF(COUNTA($F$6:$F$10)=5,(F395-F24)/F24,"")</f>
        <v>0.78459431560655135</v>
      </c>
      <c r="N394" s="238">
        <f t="shared" si="39"/>
        <v>1</v>
      </c>
      <c r="O394" s="14" t="str">
        <f t="shared" si="40"/>
        <v>new</v>
      </c>
      <c r="P394" s="14"/>
      <c r="Q394" s="14"/>
      <c r="R394" s="14"/>
      <c r="S394" s="14"/>
      <c r="T394" s="14"/>
      <c r="U394" s="14"/>
      <c r="V394" s="14"/>
      <c r="W394" s="39" t="str">
        <f>IF(AND(L394="WIN",L395&lt;&gt;"WIN"),SUMIF(L$24:L394,"WIN",K$24:K394)-SUM(W$23:W393),"")</f>
        <v/>
      </c>
      <c r="X394" s="41" t="str">
        <f>IF(AND(L394="LOSS",L395&lt;&gt;"LOSS"),SUMIF(L$24:L394,"LOSS",K$24:K394)-SUM(X$23:X393),"")</f>
        <v/>
      </c>
      <c r="Y394" s="8"/>
      <c r="Z394" s="85"/>
      <c r="AA394" s="85"/>
      <c r="AB394" s="85"/>
      <c r="AC394" s="85"/>
      <c r="AD394" s="85"/>
      <c r="AE394" s="85"/>
      <c r="AF394" s="85"/>
      <c r="AG394" s="85"/>
      <c r="AH394" s="85"/>
      <c r="AI394" s="85"/>
      <c r="AJ394" s="85"/>
      <c r="AK394" s="85"/>
      <c r="AL394" s="85"/>
      <c r="AM394" s="85"/>
      <c r="AN394" s="85"/>
      <c r="AO394" s="85"/>
      <c r="AP394" s="85"/>
      <c r="AQ394" s="85"/>
      <c r="AR394" s="85"/>
      <c r="AS394" s="85"/>
      <c r="AT394" s="85"/>
      <c r="AU394" s="85"/>
      <c r="AV394" s="85"/>
      <c r="AW394" s="85"/>
      <c r="AX394" s="85"/>
      <c r="AY394" s="85"/>
      <c r="AZ394" s="85"/>
      <c r="BA394" s="85"/>
    </row>
    <row r="395" spans="1:53" ht="15.75">
      <c r="A395" s="149"/>
      <c r="B395" s="305" t="s">
        <v>439</v>
      </c>
      <c r="C395" s="306"/>
      <c r="D395" s="271">
        <v>4</v>
      </c>
      <c r="E395" s="272"/>
      <c r="F395" s="278">
        <f t="shared" si="41"/>
        <v>17845.943156065514</v>
      </c>
      <c r="G395" s="279"/>
      <c r="H395" s="275">
        <f t="shared" si="37"/>
        <v>178.45943156065513</v>
      </c>
      <c r="I395" s="276"/>
      <c r="J395" s="277"/>
      <c r="K395" s="75">
        <f t="shared" si="42"/>
        <v>214.15131787278617</v>
      </c>
      <c r="L395" s="81" t="str">
        <f t="shared" si="38"/>
        <v>WIN</v>
      </c>
      <c r="M395" s="242">
        <f>IF(COUNTA($F$6:$F$10)=5,(F396-F24)/F24,"")</f>
        <v>0.80600944739383007</v>
      </c>
      <c r="N395" s="238">
        <f t="shared" si="39"/>
        <v>2</v>
      </c>
      <c r="O395" s="14" t="str">
        <f t="shared" si="40"/>
        <v>middle</v>
      </c>
      <c r="P395" s="14"/>
      <c r="Q395" s="14"/>
      <c r="R395" s="14"/>
      <c r="S395" s="14"/>
      <c r="T395" s="14"/>
      <c r="U395" s="14"/>
      <c r="V395" s="14"/>
      <c r="W395" s="39" t="str">
        <f>IF(AND(L395="WIN",L396&lt;&gt;"WIN"),SUMIF(L$24:L395,"WIN",K$24:K395)-SUM(W$23:W394),"")</f>
        <v/>
      </c>
      <c r="X395" s="41" t="str">
        <f>IF(AND(L395="LOSS",L396&lt;&gt;"LOSS"),SUMIF(L$24:L395,"LOSS",K$24:K395)-SUM(X$23:X394),"")</f>
        <v/>
      </c>
      <c r="Y395" s="8"/>
      <c r="Z395" s="85"/>
      <c r="AA395" s="85"/>
      <c r="AB395" s="85"/>
      <c r="AC395" s="85"/>
      <c r="AD395" s="85"/>
      <c r="AE395" s="85"/>
      <c r="AF395" s="85"/>
      <c r="AG395" s="85"/>
      <c r="AH395" s="85"/>
      <c r="AI395" s="85"/>
      <c r="AJ395" s="85"/>
      <c r="AK395" s="85"/>
      <c r="AL395" s="85"/>
      <c r="AM395" s="85"/>
      <c r="AN395" s="85"/>
      <c r="AO395" s="85"/>
      <c r="AP395" s="85"/>
      <c r="AQ395" s="85"/>
      <c r="AR395" s="85"/>
      <c r="AS395" s="85"/>
      <c r="AT395" s="85"/>
      <c r="AU395" s="85"/>
      <c r="AV395" s="85"/>
      <c r="AW395" s="85"/>
      <c r="AX395" s="85"/>
      <c r="AY395" s="85"/>
      <c r="AZ395" s="85"/>
      <c r="BA395" s="85"/>
    </row>
    <row r="396" spans="1:53" ht="15.75">
      <c r="A396" s="149"/>
      <c r="B396" s="305" t="s">
        <v>440</v>
      </c>
      <c r="C396" s="306"/>
      <c r="D396" s="271">
        <v>48</v>
      </c>
      <c r="E396" s="272"/>
      <c r="F396" s="278">
        <f t="shared" si="41"/>
        <v>18060.094473938301</v>
      </c>
      <c r="G396" s="279"/>
      <c r="H396" s="275">
        <f t="shared" si="37"/>
        <v>180.60094473938301</v>
      </c>
      <c r="I396" s="276"/>
      <c r="J396" s="277"/>
      <c r="K396" s="75">
        <f t="shared" si="42"/>
        <v>216.7211336872596</v>
      </c>
      <c r="L396" s="81" t="str">
        <f t="shared" si="38"/>
        <v>WIN</v>
      </c>
      <c r="M396" s="242">
        <f>IF(COUNTA($F$6:$F$10)=5,(F397-F24)/F24,"")</f>
        <v>0.82768156076255617</v>
      </c>
      <c r="N396" s="238">
        <f t="shared" si="39"/>
        <v>3</v>
      </c>
      <c r="O396" s="14" t="str">
        <f t="shared" si="40"/>
        <v>middle</v>
      </c>
      <c r="P396" s="14"/>
      <c r="Q396" s="14"/>
      <c r="R396" s="14"/>
      <c r="S396" s="14"/>
      <c r="T396" s="14"/>
      <c r="U396" s="14"/>
      <c r="V396" s="14"/>
      <c r="W396" s="39" t="str">
        <f>IF(AND(L396="WIN",L397&lt;&gt;"WIN"),SUMIF(L$24:L396,"WIN",K$24:K396)-SUM(W$23:W395),"")</f>
        <v/>
      </c>
      <c r="X396" s="41" t="str">
        <f>IF(AND(L396="LOSS",L397&lt;&gt;"LOSS"),SUMIF(L$24:L396,"LOSS",K$24:K396)-SUM(X$23:X395),"")</f>
        <v/>
      </c>
      <c r="Y396" s="8"/>
      <c r="Z396" s="85"/>
      <c r="AA396" s="85"/>
      <c r="AB396" s="85"/>
      <c r="AC396" s="85"/>
      <c r="AD396" s="85"/>
      <c r="AE396" s="85"/>
      <c r="AF396" s="85"/>
      <c r="AG396" s="85"/>
      <c r="AH396" s="85"/>
      <c r="AI396" s="85"/>
      <c r="AJ396" s="85"/>
      <c r="AK396" s="85"/>
      <c r="AL396" s="85"/>
      <c r="AM396" s="85"/>
      <c r="AN396" s="85"/>
      <c r="AO396" s="85"/>
      <c r="AP396" s="85"/>
      <c r="AQ396" s="85"/>
      <c r="AR396" s="85"/>
      <c r="AS396" s="85"/>
      <c r="AT396" s="85"/>
      <c r="AU396" s="85"/>
      <c r="AV396" s="85"/>
      <c r="AW396" s="85"/>
      <c r="AX396" s="85"/>
      <c r="AY396" s="85"/>
      <c r="AZ396" s="85"/>
      <c r="BA396" s="85"/>
    </row>
    <row r="397" spans="1:53" ht="15.75">
      <c r="A397" s="149"/>
      <c r="B397" s="305" t="s">
        <v>441</v>
      </c>
      <c r="C397" s="306"/>
      <c r="D397" s="271">
        <v>42</v>
      </c>
      <c r="E397" s="272"/>
      <c r="F397" s="278">
        <f t="shared" si="41"/>
        <v>18276.815607625562</v>
      </c>
      <c r="G397" s="279"/>
      <c r="H397" s="275">
        <f t="shared" si="37"/>
        <v>182.76815607625562</v>
      </c>
      <c r="I397" s="276"/>
      <c r="J397" s="277"/>
      <c r="K397" s="75">
        <f t="shared" si="42"/>
        <v>219.32178729150675</v>
      </c>
      <c r="L397" s="81" t="str">
        <f t="shared" si="38"/>
        <v>WIN</v>
      </c>
      <c r="M397" s="242">
        <f>IF(COUNTA($F$6:$F$10)=5,(F398-F24)/F24,"")</f>
        <v>0.84961373949170704</v>
      </c>
      <c r="N397" s="238">
        <f t="shared" si="39"/>
        <v>4</v>
      </c>
      <c r="O397" s="14" t="str">
        <f t="shared" si="40"/>
        <v>last</v>
      </c>
      <c r="P397" s="14"/>
      <c r="Q397" s="14"/>
      <c r="R397" s="14"/>
      <c r="S397" s="14"/>
      <c r="T397" s="14"/>
      <c r="U397" s="14"/>
      <c r="V397" s="14"/>
      <c r="W397" s="39">
        <f>IF(AND(L397="WIN",L398&lt;&gt;"WIN"),SUMIF(L$24:L397,"WIN",K$24:K397)-SUM(W$23:W396),"")</f>
        <v>861.80621303414591</v>
      </c>
      <c r="X397" s="41" t="str">
        <f>IF(AND(L397="LOSS",L398&lt;&gt;"LOSS"),SUMIF(L$24:L397,"LOSS",K$24:K397)-SUM(X$23:X396),"")</f>
        <v/>
      </c>
      <c r="Y397" s="8"/>
      <c r="Z397" s="85"/>
      <c r="AA397" s="85"/>
      <c r="AB397" s="85"/>
      <c r="AC397" s="85"/>
      <c r="AD397" s="85"/>
      <c r="AE397" s="85"/>
      <c r="AF397" s="85"/>
      <c r="AG397" s="85"/>
      <c r="AH397" s="85"/>
      <c r="AI397" s="85"/>
      <c r="AJ397" s="85"/>
      <c r="AK397" s="85"/>
      <c r="AL397" s="85"/>
      <c r="AM397" s="85"/>
      <c r="AN397" s="85"/>
      <c r="AO397" s="85"/>
      <c r="AP397" s="85"/>
      <c r="AQ397" s="85"/>
      <c r="AR397" s="85"/>
      <c r="AS397" s="85"/>
      <c r="AT397" s="85"/>
      <c r="AU397" s="85"/>
      <c r="AV397" s="85"/>
      <c r="AW397" s="85"/>
      <c r="AX397" s="85"/>
      <c r="AY397" s="85"/>
      <c r="AZ397" s="85"/>
      <c r="BA397" s="85"/>
    </row>
    <row r="398" spans="1:53" ht="15.75">
      <c r="A398" s="149"/>
      <c r="B398" s="305" t="s">
        <v>442</v>
      </c>
      <c r="C398" s="306"/>
      <c r="D398" s="271">
        <v>92</v>
      </c>
      <c r="E398" s="272"/>
      <c r="F398" s="278">
        <f t="shared" si="41"/>
        <v>18496.13739491707</v>
      </c>
      <c r="G398" s="279"/>
      <c r="H398" s="275">
        <f t="shared" si="37"/>
        <v>184.96137394917071</v>
      </c>
      <c r="I398" s="276"/>
      <c r="J398" s="277"/>
      <c r="K398" s="75">
        <f t="shared" si="42"/>
        <v>-184.96137394917071</v>
      </c>
      <c r="L398" s="81" t="str">
        <f t="shared" si="38"/>
        <v>LOSS</v>
      </c>
      <c r="M398" s="242">
        <f>IF(COUNTA($F$6:$F$10)=5,(F399-F24)/F24,"")</f>
        <v>0.83111760209678975</v>
      </c>
      <c r="N398" s="238">
        <f t="shared" si="39"/>
        <v>1</v>
      </c>
      <c r="O398" s="14" t="str">
        <f t="shared" si="40"/>
        <v>last</v>
      </c>
      <c r="P398" s="14"/>
      <c r="Q398" s="14"/>
      <c r="R398" s="14"/>
      <c r="S398" s="14"/>
      <c r="T398" s="14"/>
      <c r="U398" s="14"/>
      <c r="V398" s="14"/>
      <c r="W398" s="39" t="str">
        <f>IF(AND(L398="WIN",L399&lt;&gt;"WIN"),SUMIF(L$24:L398,"WIN",K$24:K398)-SUM(W$23:W397),"")</f>
        <v/>
      </c>
      <c r="X398" s="41">
        <f>IF(AND(L398="LOSS",L399&lt;&gt;"LOSS"),SUMIF(L$24:L398,"LOSS",K$24:K398)-SUM(X$23:X397),"")</f>
        <v>-184.96137394917241</v>
      </c>
      <c r="Y398" s="8"/>
      <c r="Z398" s="85"/>
      <c r="AA398" s="85"/>
      <c r="AB398" s="85"/>
      <c r="AC398" s="85"/>
      <c r="AD398" s="85"/>
      <c r="AE398" s="85"/>
      <c r="AF398" s="85"/>
      <c r="AG398" s="85"/>
      <c r="AH398" s="85"/>
      <c r="AI398" s="85"/>
      <c r="AJ398" s="85"/>
      <c r="AK398" s="85"/>
      <c r="AL398" s="85"/>
      <c r="AM398" s="85"/>
      <c r="AN398" s="85"/>
      <c r="AO398" s="85"/>
      <c r="AP398" s="85"/>
      <c r="AQ398" s="85"/>
      <c r="AR398" s="85"/>
      <c r="AS398" s="85"/>
      <c r="AT398" s="85"/>
      <c r="AU398" s="85"/>
      <c r="AV398" s="85"/>
      <c r="AW398" s="85"/>
      <c r="AX398" s="85"/>
      <c r="AY398" s="85"/>
      <c r="AZ398" s="85"/>
      <c r="BA398" s="85"/>
    </row>
    <row r="399" spans="1:53" ht="15.75">
      <c r="A399" s="149"/>
      <c r="B399" s="305" t="s">
        <v>443</v>
      </c>
      <c r="C399" s="306"/>
      <c r="D399" s="271">
        <v>37</v>
      </c>
      <c r="E399" s="272"/>
      <c r="F399" s="278">
        <f t="shared" si="41"/>
        <v>18311.176020967898</v>
      </c>
      <c r="G399" s="279"/>
      <c r="H399" s="275">
        <f t="shared" si="37"/>
        <v>183.11176020967898</v>
      </c>
      <c r="I399" s="276"/>
      <c r="J399" s="277"/>
      <c r="K399" s="75">
        <f t="shared" si="42"/>
        <v>219.73411225161476</v>
      </c>
      <c r="L399" s="81" t="str">
        <f t="shared" si="38"/>
        <v>WIN</v>
      </c>
      <c r="M399" s="242">
        <f>IF(COUNTA($F$6:$F$10)=5,(F400-F24)/F24,"")</f>
        <v>0.85309101332195136</v>
      </c>
      <c r="N399" s="238">
        <f t="shared" si="39"/>
        <v>1</v>
      </c>
      <c r="O399" s="14" t="str">
        <f t="shared" si="40"/>
        <v>last</v>
      </c>
      <c r="P399" s="14"/>
      <c r="Q399" s="14"/>
      <c r="R399" s="14"/>
      <c r="S399" s="14"/>
      <c r="T399" s="14"/>
      <c r="U399" s="14"/>
      <c r="V399" s="14"/>
      <c r="W399" s="39">
        <f>IF(AND(L399="WIN",L400&lt;&gt;"WIN"),SUMIF(L$24:L399,"WIN",K$24:K399)-SUM(W$23:W398),"")</f>
        <v>219.73411225161544</v>
      </c>
      <c r="X399" s="41" t="str">
        <f>IF(AND(L399="LOSS",L400&lt;&gt;"LOSS"),SUMIF(L$24:L399,"LOSS",K$24:K399)-SUM(X$23:X398),"")</f>
        <v/>
      </c>
      <c r="Y399" s="8"/>
      <c r="Z399" s="85"/>
      <c r="AA399" s="85"/>
      <c r="AB399" s="85"/>
      <c r="AC399" s="85"/>
      <c r="AD399" s="85"/>
      <c r="AE399" s="85"/>
      <c r="AF399" s="85"/>
      <c r="AG399" s="85"/>
      <c r="AH399" s="85"/>
      <c r="AI399" s="85"/>
      <c r="AJ399" s="85"/>
      <c r="AK399" s="85"/>
      <c r="AL399" s="85"/>
      <c r="AM399" s="85"/>
      <c r="AN399" s="85"/>
      <c r="AO399" s="85"/>
      <c r="AP399" s="85"/>
      <c r="AQ399" s="85"/>
      <c r="AR399" s="85"/>
      <c r="AS399" s="85"/>
      <c r="AT399" s="85"/>
      <c r="AU399" s="85"/>
      <c r="AV399" s="85"/>
      <c r="AW399" s="85"/>
      <c r="AX399" s="85"/>
      <c r="AY399" s="85"/>
      <c r="AZ399" s="85"/>
      <c r="BA399" s="85"/>
    </row>
    <row r="400" spans="1:53" ht="15.75">
      <c r="A400" s="149"/>
      <c r="B400" s="305" t="s">
        <v>444</v>
      </c>
      <c r="C400" s="306"/>
      <c r="D400" s="271">
        <v>88</v>
      </c>
      <c r="E400" s="272"/>
      <c r="F400" s="278">
        <f t="shared" si="41"/>
        <v>18530.910133219513</v>
      </c>
      <c r="G400" s="279"/>
      <c r="H400" s="275">
        <f t="shared" si="37"/>
        <v>185.30910133219513</v>
      </c>
      <c r="I400" s="276"/>
      <c r="J400" s="277"/>
      <c r="K400" s="75">
        <f t="shared" si="42"/>
        <v>-185.30910133219513</v>
      </c>
      <c r="L400" s="81" t="str">
        <f t="shared" si="38"/>
        <v>LOSS</v>
      </c>
      <c r="M400" s="242">
        <f>IF(COUNTA($F$6:$F$10)=5,(F401-F24)/F24,"")</f>
        <v>0.83456010318873197</v>
      </c>
      <c r="N400" s="238">
        <f t="shared" si="39"/>
        <v>1</v>
      </c>
      <c r="O400" s="14" t="str">
        <f t="shared" si="40"/>
        <v>new</v>
      </c>
      <c r="P400" s="14"/>
      <c r="Q400" s="14"/>
      <c r="R400" s="14"/>
      <c r="S400" s="14"/>
      <c r="T400" s="14"/>
      <c r="U400" s="14"/>
      <c r="V400" s="14"/>
      <c r="W400" s="39" t="str">
        <f>IF(AND(L400="WIN",L401&lt;&gt;"WIN"),SUMIF(L$24:L400,"WIN",K$24:K400)-SUM(W$23:W399),"")</f>
        <v/>
      </c>
      <c r="X400" s="41" t="str">
        <f>IF(AND(L400="LOSS",L401&lt;&gt;"LOSS"),SUMIF(L$24:L400,"LOSS",K$24:K400)-SUM(X$23:X399),"")</f>
        <v/>
      </c>
      <c r="Y400" s="8"/>
      <c r="Z400" s="85"/>
      <c r="AA400" s="85"/>
      <c r="AB400" s="85"/>
      <c r="AC400" s="85"/>
      <c r="AD400" s="85"/>
      <c r="AE400" s="85"/>
      <c r="AF400" s="85"/>
      <c r="AG400" s="85"/>
      <c r="AH400" s="85"/>
      <c r="AI400" s="85"/>
      <c r="AJ400" s="85"/>
      <c r="AK400" s="85"/>
      <c r="AL400" s="85"/>
      <c r="AM400" s="85"/>
      <c r="AN400" s="85"/>
      <c r="AO400" s="85"/>
      <c r="AP400" s="85"/>
      <c r="AQ400" s="85"/>
      <c r="AR400" s="85"/>
      <c r="AS400" s="85"/>
      <c r="AT400" s="85"/>
      <c r="AU400" s="85"/>
      <c r="AV400" s="85"/>
      <c r="AW400" s="85"/>
      <c r="AX400" s="85"/>
      <c r="AY400" s="85"/>
      <c r="AZ400" s="85"/>
      <c r="BA400" s="85"/>
    </row>
    <row r="401" spans="1:53" ht="15.75">
      <c r="A401" s="149"/>
      <c r="B401" s="305" t="s">
        <v>445</v>
      </c>
      <c r="C401" s="306"/>
      <c r="D401" s="271">
        <v>97</v>
      </c>
      <c r="E401" s="272"/>
      <c r="F401" s="278">
        <f t="shared" si="41"/>
        <v>18345.60103188732</v>
      </c>
      <c r="G401" s="279"/>
      <c r="H401" s="275">
        <f t="shared" si="37"/>
        <v>183.45601031887321</v>
      </c>
      <c r="I401" s="276"/>
      <c r="J401" s="277"/>
      <c r="K401" s="75">
        <f t="shared" si="42"/>
        <v>-183.45601031887321</v>
      </c>
      <c r="L401" s="81" t="str">
        <f t="shared" si="38"/>
        <v>LOSS</v>
      </c>
      <c r="M401" s="242">
        <f>IF(COUNTA($F$6:$F$10)=5,(F402-F24)/F24,"")</f>
        <v>0.81621450215684455</v>
      </c>
      <c r="N401" s="238">
        <f t="shared" si="39"/>
        <v>2</v>
      </c>
      <c r="O401" s="14" t="str">
        <f t="shared" si="40"/>
        <v>last</v>
      </c>
      <c r="P401" s="14"/>
      <c r="Q401" s="14"/>
      <c r="R401" s="14"/>
      <c r="S401" s="14"/>
      <c r="T401" s="14"/>
      <c r="U401" s="14"/>
      <c r="V401" s="14"/>
      <c r="W401" s="39" t="str">
        <f>IF(AND(L401="WIN",L402&lt;&gt;"WIN"),SUMIF(L$24:L401,"WIN",K$24:K401)-SUM(W$23:W400),"")</f>
        <v/>
      </c>
      <c r="X401" s="41">
        <f>IF(AND(L401="LOSS",L402&lt;&gt;"LOSS"),SUMIF(L$24:L401,"LOSS",K$24:K401)-SUM(X$23:X400),"")</f>
        <v>-368.76511165106785</v>
      </c>
      <c r="Y401" s="8"/>
      <c r="Z401" s="85"/>
      <c r="AA401" s="85"/>
      <c r="AB401" s="85"/>
      <c r="AC401" s="85"/>
      <c r="AD401" s="85"/>
      <c r="AE401" s="85"/>
      <c r="AF401" s="85"/>
      <c r="AG401" s="85"/>
      <c r="AH401" s="85"/>
      <c r="AI401" s="85"/>
      <c r="AJ401" s="85"/>
      <c r="AK401" s="85"/>
      <c r="AL401" s="85"/>
      <c r="AM401" s="85"/>
      <c r="AN401" s="85"/>
      <c r="AO401" s="85"/>
      <c r="AP401" s="85"/>
      <c r="AQ401" s="85"/>
      <c r="AR401" s="85"/>
      <c r="AS401" s="85"/>
      <c r="AT401" s="85"/>
      <c r="AU401" s="85"/>
      <c r="AV401" s="85"/>
      <c r="AW401" s="85"/>
      <c r="AX401" s="85"/>
      <c r="AY401" s="85"/>
      <c r="AZ401" s="85"/>
      <c r="BA401" s="85"/>
    </row>
    <row r="402" spans="1:53" ht="15.75">
      <c r="A402" s="149"/>
      <c r="B402" s="305" t="s">
        <v>446</v>
      </c>
      <c r="C402" s="306"/>
      <c r="D402" s="271">
        <v>3</v>
      </c>
      <c r="E402" s="272"/>
      <c r="F402" s="278">
        <f t="shared" si="41"/>
        <v>18162.145021568445</v>
      </c>
      <c r="G402" s="279"/>
      <c r="H402" s="275">
        <f t="shared" si="37"/>
        <v>181.62145021568446</v>
      </c>
      <c r="I402" s="276"/>
      <c r="J402" s="277"/>
      <c r="K402" s="75">
        <f t="shared" si="42"/>
        <v>217.94574025882136</v>
      </c>
      <c r="L402" s="81" t="str">
        <f t="shared" si="38"/>
        <v>WIN</v>
      </c>
      <c r="M402" s="242">
        <f>IF(COUNTA($F$6:$F$10)=5,(F403-F24)/F24,"")</f>
        <v>0.83800907618272691</v>
      </c>
      <c r="N402" s="238">
        <f t="shared" si="39"/>
        <v>1</v>
      </c>
      <c r="O402" s="14" t="str">
        <f t="shared" si="40"/>
        <v>new</v>
      </c>
      <c r="P402" s="14"/>
      <c r="Q402" s="14"/>
      <c r="R402" s="14"/>
      <c r="S402" s="14"/>
      <c r="T402" s="14"/>
      <c r="U402" s="14"/>
      <c r="V402" s="14"/>
      <c r="W402" s="39" t="str">
        <f>IF(AND(L402="WIN",L403&lt;&gt;"WIN"),SUMIF(L$24:L402,"WIN",K$24:K402)-SUM(W$23:W401),"")</f>
        <v/>
      </c>
      <c r="X402" s="41" t="str">
        <f>IF(AND(L402="LOSS",L403&lt;&gt;"LOSS"),SUMIF(L$24:L402,"LOSS",K$24:K402)-SUM(X$23:X401),"")</f>
        <v/>
      </c>
      <c r="Y402" s="8"/>
      <c r="Z402" s="85"/>
      <c r="AA402" s="85"/>
      <c r="AB402" s="85"/>
      <c r="AC402" s="85"/>
      <c r="AD402" s="85"/>
      <c r="AE402" s="85"/>
      <c r="AF402" s="85"/>
      <c r="AG402" s="85"/>
      <c r="AH402" s="85"/>
      <c r="AI402" s="85"/>
      <c r="AJ402" s="85"/>
      <c r="AK402" s="85"/>
      <c r="AL402" s="85"/>
      <c r="AM402" s="85"/>
      <c r="AN402" s="85"/>
      <c r="AO402" s="85"/>
      <c r="AP402" s="85"/>
      <c r="AQ402" s="85"/>
      <c r="AR402" s="85"/>
      <c r="AS402" s="85"/>
      <c r="AT402" s="85"/>
      <c r="AU402" s="85"/>
      <c r="AV402" s="85"/>
      <c r="AW402" s="85"/>
      <c r="AX402" s="85"/>
      <c r="AY402" s="85"/>
      <c r="AZ402" s="85"/>
      <c r="BA402" s="85"/>
    </row>
    <row r="403" spans="1:53" ht="15.75">
      <c r="A403" s="149"/>
      <c r="B403" s="305" t="s">
        <v>447</v>
      </c>
      <c r="C403" s="306"/>
      <c r="D403" s="271">
        <v>35</v>
      </c>
      <c r="E403" s="272"/>
      <c r="F403" s="278">
        <f t="shared" si="41"/>
        <v>18380.090761827269</v>
      </c>
      <c r="G403" s="279"/>
      <c r="H403" s="275">
        <f t="shared" si="37"/>
        <v>183.8009076182727</v>
      </c>
      <c r="I403" s="276"/>
      <c r="J403" s="277"/>
      <c r="K403" s="75">
        <f t="shared" si="42"/>
        <v>220.56108914192723</v>
      </c>
      <c r="L403" s="81" t="str">
        <f t="shared" si="38"/>
        <v>WIN</v>
      </c>
      <c r="M403" s="242">
        <f>IF(COUNTA($F$6:$F$10)=5,(F404-F24)/F24,"")</f>
        <v>0.86006518509691965</v>
      </c>
      <c r="N403" s="238">
        <f t="shared" si="39"/>
        <v>2</v>
      </c>
      <c r="O403" s="14" t="str">
        <f t="shared" si="40"/>
        <v>middle</v>
      </c>
      <c r="P403" s="14"/>
      <c r="Q403" s="14"/>
      <c r="R403" s="14"/>
      <c r="S403" s="14"/>
      <c r="T403" s="14"/>
      <c r="U403" s="14"/>
      <c r="V403" s="14"/>
      <c r="W403" s="39" t="str">
        <f>IF(AND(L403="WIN",L404&lt;&gt;"WIN"),SUMIF(L$24:L403,"WIN",K$24:K403)-SUM(W$23:W402),"")</f>
        <v/>
      </c>
      <c r="X403" s="41" t="str">
        <f>IF(AND(L403="LOSS",L404&lt;&gt;"LOSS"),SUMIF(L$24:L403,"LOSS",K$24:K403)-SUM(X$23:X402),"")</f>
        <v/>
      </c>
      <c r="Y403" s="8"/>
      <c r="Z403" s="85"/>
      <c r="AA403" s="85"/>
      <c r="AB403" s="85"/>
      <c r="AC403" s="85"/>
      <c r="AD403" s="85"/>
      <c r="AE403" s="85"/>
      <c r="AF403" s="85"/>
      <c r="AG403" s="85"/>
      <c r="AH403" s="85"/>
      <c r="AI403" s="85"/>
      <c r="AJ403" s="85"/>
      <c r="AK403" s="85"/>
      <c r="AL403" s="85"/>
      <c r="AM403" s="85"/>
      <c r="AN403" s="85"/>
      <c r="AO403" s="85"/>
      <c r="AP403" s="85"/>
      <c r="AQ403" s="85"/>
      <c r="AR403" s="85"/>
      <c r="AS403" s="85"/>
      <c r="AT403" s="85"/>
      <c r="AU403" s="85"/>
      <c r="AV403" s="85"/>
      <c r="AW403" s="85"/>
      <c r="AX403" s="85"/>
      <c r="AY403" s="85"/>
      <c r="AZ403" s="85"/>
      <c r="BA403" s="85"/>
    </row>
    <row r="404" spans="1:53" ht="15.75">
      <c r="A404" s="149"/>
      <c r="B404" s="305" t="s">
        <v>448</v>
      </c>
      <c r="C404" s="306"/>
      <c r="D404" s="271">
        <v>40</v>
      </c>
      <c r="E404" s="272"/>
      <c r="F404" s="278">
        <f t="shared" si="41"/>
        <v>18600.651850969196</v>
      </c>
      <c r="G404" s="279"/>
      <c r="H404" s="275">
        <f t="shared" si="37"/>
        <v>186.00651850969197</v>
      </c>
      <c r="I404" s="276"/>
      <c r="J404" s="277"/>
      <c r="K404" s="75">
        <f t="shared" si="42"/>
        <v>223.20782221163037</v>
      </c>
      <c r="L404" s="81" t="str">
        <f t="shared" si="38"/>
        <v>WIN</v>
      </c>
      <c r="M404" s="242">
        <f>IF(COUNTA($F$6:$F$10)=5,(F405-F24)/F24,"")</f>
        <v>0.8823859673180825</v>
      </c>
      <c r="N404" s="238">
        <f t="shared" si="39"/>
        <v>3</v>
      </c>
      <c r="O404" s="14" t="str">
        <f t="shared" si="40"/>
        <v>middle</v>
      </c>
      <c r="P404" s="14"/>
      <c r="Q404" s="14"/>
      <c r="R404" s="14"/>
      <c r="S404" s="14"/>
      <c r="T404" s="14"/>
      <c r="U404" s="14"/>
      <c r="V404" s="14"/>
      <c r="W404" s="39" t="str">
        <f>IF(AND(L404="WIN",L405&lt;&gt;"WIN"),SUMIF(L$24:L404,"WIN",K$24:K404)-SUM(W$23:W403),"")</f>
        <v/>
      </c>
      <c r="X404" s="41" t="str">
        <f>IF(AND(L404="LOSS",L405&lt;&gt;"LOSS"),SUMIF(L$24:L404,"LOSS",K$24:K404)-SUM(X$23:X403),"")</f>
        <v/>
      </c>
      <c r="Y404" s="8"/>
      <c r="Z404" s="85"/>
      <c r="AA404" s="85"/>
      <c r="AB404" s="85"/>
      <c r="AC404" s="85"/>
      <c r="AD404" s="85"/>
      <c r="AE404" s="85"/>
      <c r="AF404" s="85"/>
      <c r="AG404" s="85"/>
      <c r="AH404" s="85"/>
      <c r="AI404" s="85"/>
      <c r="AJ404" s="85"/>
      <c r="AK404" s="85"/>
      <c r="AL404" s="85"/>
      <c r="AM404" s="85"/>
      <c r="AN404" s="85"/>
      <c r="AO404" s="85"/>
      <c r="AP404" s="85"/>
      <c r="AQ404" s="85"/>
      <c r="AR404" s="85"/>
      <c r="AS404" s="85"/>
      <c r="AT404" s="85"/>
      <c r="AU404" s="85"/>
      <c r="AV404" s="85"/>
      <c r="AW404" s="85"/>
      <c r="AX404" s="85"/>
      <c r="AY404" s="85"/>
      <c r="AZ404" s="85"/>
      <c r="BA404" s="85"/>
    </row>
    <row r="405" spans="1:53" ht="15.75">
      <c r="A405" s="149"/>
      <c r="B405" s="305" t="s">
        <v>449</v>
      </c>
      <c r="C405" s="306"/>
      <c r="D405" s="271">
        <v>46</v>
      </c>
      <c r="E405" s="272"/>
      <c r="F405" s="278">
        <f t="shared" si="41"/>
        <v>18823.859673180825</v>
      </c>
      <c r="G405" s="279"/>
      <c r="H405" s="275">
        <f t="shared" si="37"/>
        <v>188.23859673180826</v>
      </c>
      <c r="I405" s="276"/>
      <c r="J405" s="277"/>
      <c r="K405" s="75">
        <f t="shared" si="42"/>
        <v>225.8863160781699</v>
      </c>
      <c r="L405" s="81" t="str">
        <f t="shared" si="38"/>
        <v>WIN</v>
      </c>
      <c r="M405" s="242">
        <f>IF(COUNTA($F$6:$F$10)=5,(F406-F24)/F24,"")</f>
        <v>0.90497459892589938</v>
      </c>
      <c r="N405" s="238">
        <f t="shared" si="39"/>
        <v>4</v>
      </c>
      <c r="O405" s="14" t="str">
        <f t="shared" si="40"/>
        <v>last</v>
      </c>
      <c r="P405" s="14"/>
      <c r="Q405" s="14"/>
      <c r="R405" s="14"/>
      <c r="S405" s="14"/>
      <c r="T405" s="14"/>
      <c r="U405" s="14"/>
      <c r="V405" s="14"/>
      <c r="W405" s="39">
        <f>IF(AND(L405="WIN",L406&lt;&gt;"WIN"),SUMIF(L$24:L405,"WIN",K$24:K405)-SUM(W$23:W404),"")</f>
        <v>887.60096769055235</v>
      </c>
      <c r="X405" s="41" t="str">
        <f>IF(AND(L405="LOSS",L406&lt;&gt;"LOSS"),SUMIF(L$24:L405,"LOSS",K$24:K405)-SUM(X$23:X404),"")</f>
        <v/>
      </c>
      <c r="Y405" s="8"/>
      <c r="Z405" s="85"/>
      <c r="AA405" s="85"/>
      <c r="AB405" s="85"/>
      <c r="AC405" s="85"/>
      <c r="AD405" s="85"/>
      <c r="AE405" s="85"/>
      <c r="AF405" s="85"/>
      <c r="AG405" s="85"/>
      <c r="AH405" s="85"/>
      <c r="AI405" s="85"/>
      <c r="AJ405" s="85"/>
      <c r="AK405" s="85"/>
      <c r="AL405" s="85"/>
      <c r="AM405" s="85"/>
      <c r="AN405" s="85"/>
      <c r="AO405" s="85"/>
      <c r="AP405" s="85"/>
      <c r="AQ405" s="85"/>
      <c r="AR405" s="85"/>
      <c r="AS405" s="85"/>
      <c r="AT405" s="85"/>
      <c r="AU405" s="85"/>
      <c r="AV405" s="85"/>
      <c r="AW405" s="85"/>
      <c r="AX405" s="85"/>
      <c r="AY405" s="85"/>
      <c r="AZ405" s="85"/>
      <c r="BA405" s="85"/>
    </row>
    <row r="406" spans="1:53" ht="15.75">
      <c r="A406" s="149"/>
      <c r="B406" s="305" t="s">
        <v>450</v>
      </c>
      <c r="C406" s="306"/>
      <c r="D406" s="271">
        <v>56</v>
      </c>
      <c r="E406" s="272"/>
      <c r="F406" s="278">
        <f t="shared" si="41"/>
        <v>19049.745989258994</v>
      </c>
      <c r="G406" s="279"/>
      <c r="H406" s="275">
        <f t="shared" si="37"/>
        <v>190.49745989258994</v>
      </c>
      <c r="I406" s="276"/>
      <c r="J406" s="277"/>
      <c r="K406" s="75">
        <f t="shared" si="42"/>
        <v>-190.49745989258994</v>
      </c>
      <c r="L406" s="81" t="str">
        <f t="shared" si="38"/>
        <v>LOSS</v>
      </c>
      <c r="M406" s="242">
        <f>IF(COUNTA($F$6:$F$10)=5,(F407-F24)/F24,"")</f>
        <v>0.88592485293664036</v>
      </c>
      <c r="N406" s="238">
        <f t="shared" si="39"/>
        <v>1</v>
      </c>
      <c r="O406" s="14" t="str">
        <f t="shared" si="40"/>
        <v>new</v>
      </c>
      <c r="P406" s="14"/>
      <c r="Q406" s="14"/>
      <c r="R406" s="14"/>
      <c r="S406" s="14"/>
      <c r="T406" s="14"/>
      <c r="U406" s="14"/>
      <c r="V406" s="14"/>
      <c r="W406" s="39" t="str">
        <f>IF(AND(L406="WIN",L407&lt;&gt;"WIN"),SUMIF(L$24:L406,"WIN",K$24:K406)-SUM(W$23:W405),"")</f>
        <v/>
      </c>
      <c r="X406" s="41" t="str">
        <f>IF(AND(L406="LOSS",L407&lt;&gt;"LOSS"),SUMIF(L$24:L406,"LOSS",K$24:K406)-SUM(X$23:X405),"")</f>
        <v/>
      </c>
      <c r="Y406" s="8"/>
      <c r="Z406" s="85"/>
      <c r="AA406" s="85"/>
      <c r="AB406" s="85"/>
      <c r="AC406" s="85"/>
      <c r="AD406" s="85"/>
      <c r="AE406" s="85"/>
      <c r="AF406" s="85"/>
      <c r="AG406" s="85"/>
      <c r="AH406" s="85"/>
      <c r="AI406" s="85"/>
      <c r="AJ406" s="85"/>
      <c r="AK406" s="85"/>
      <c r="AL406" s="85"/>
      <c r="AM406" s="85"/>
      <c r="AN406" s="85"/>
      <c r="AO406" s="85"/>
      <c r="AP406" s="85"/>
      <c r="AQ406" s="85"/>
      <c r="AR406" s="85"/>
      <c r="AS406" s="85"/>
      <c r="AT406" s="85"/>
      <c r="AU406" s="85"/>
      <c r="AV406" s="85"/>
      <c r="AW406" s="85"/>
      <c r="AX406" s="85"/>
      <c r="AY406" s="85"/>
      <c r="AZ406" s="85"/>
      <c r="BA406" s="85"/>
    </row>
    <row r="407" spans="1:53" ht="15.75">
      <c r="A407" s="149"/>
      <c r="B407" s="305" t="s">
        <v>451</v>
      </c>
      <c r="C407" s="306"/>
      <c r="D407" s="271">
        <v>67</v>
      </c>
      <c r="E407" s="272"/>
      <c r="F407" s="278">
        <f t="shared" si="41"/>
        <v>18859.248529366403</v>
      </c>
      <c r="G407" s="279"/>
      <c r="H407" s="275">
        <f t="shared" si="37"/>
        <v>188.59248529366403</v>
      </c>
      <c r="I407" s="276"/>
      <c r="J407" s="277"/>
      <c r="K407" s="75">
        <f t="shared" si="42"/>
        <v>-188.59248529366403</v>
      </c>
      <c r="L407" s="81" t="str">
        <f t="shared" si="38"/>
        <v>LOSS</v>
      </c>
      <c r="M407" s="242">
        <f>IF(COUNTA($F$6:$F$10)=5,(F408-F24)/F24,"")</f>
        <v>0.86706560440727376</v>
      </c>
      <c r="N407" s="238">
        <f t="shared" si="39"/>
        <v>2</v>
      </c>
      <c r="O407" s="14" t="str">
        <f t="shared" si="40"/>
        <v>last</v>
      </c>
      <c r="P407" s="14"/>
      <c r="Q407" s="14"/>
      <c r="R407" s="14"/>
      <c r="S407" s="14"/>
      <c r="T407" s="14"/>
      <c r="U407" s="14"/>
      <c r="V407" s="14"/>
      <c r="W407" s="39" t="str">
        <f>IF(AND(L407="WIN",L408&lt;&gt;"WIN"),SUMIF(L$24:L407,"WIN",K$24:K407)-SUM(W$23:W406),"")</f>
        <v/>
      </c>
      <c r="X407" s="41">
        <f>IF(AND(L407="LOSS",L408&lt;&gt;"LOSS"),SUMIF(L$24:L407,"LOSS",K$24:K407)-SUM(X$23:X406),"")</f>
        <v>-379.08994518625332</v>
      </c>
      <c r="Y407" s="8"/>
      <c r="Z407" s="85"/>
      <c r="AA407" s="85"/>
      <c r="AB407" s="85"/>
      <c r="AC407" s="85"/>
      <c r="AD407" s="85"/>
      <c r="AE407" s="85"/>
      <c r="AF407" s="85"/>
      <c r="AG407" s="85"/>
      <c r="AH407" s="85"/>
      <c r="AI407" s="85"/>
      <c r="AJ407" s="85"/>
      <c r="AK407" s="85"/>
      <c r="AL407" s="85"/>
      <c r="AM407" s="85"/>
      <c r="AN407" s="85"/>
      <c r="AO407" s="85"/>
      <c r="AP407" s="85"/>
      <c r="AQ407" s="85"/>
      <c r="AR407" s="85"/>
      <c r="AS407" s="85"/>
      <c r="AT407" s="85"/>
      <c r="AU407" s="85"/>
      <c r="AV407" s="85"/>
      <c r="AW407" s="85"/>
      <c r="AX407" s="85"/>
      <c r="AY407" s="85"/>
      <c r="AZ407" s="85"/>
      <c r="BA407" s="85"/>
    </row>
    <row r="408" spans="1:53" ht="15.75">
      <c r="A408" s="149"/>
      <c r="B408" s="305" t="s">
        <v>452</v>
      </c>
      <c r="C408" s="306"/>
      <c r="D408" s="271">
        <v>1</v>
      </c>
      <c r="E408" s="272"/>
      <c r="F408" s="278">
        <f t="shared" si="41"/>
        <v>18670.656044072737</v>
      </c>
      <c r="G408" s="279"/>
      <c r="H408" s="275">
        <f t="shared" si="37"/>
        <v>186.70656044072737</v>
      </c>
      <c r="I408" s="276"/>
      <c r="J408" s="277"/>
      <c r="K408" s="75">
        <f t="shared" si="42"/>
        <v>224.04787252887283</v>
      </c>
      <c r="L408" s="81" t="str">
        <f t="shared" si="38"/>
        <v>WIN</v>
      </c>
      <c r="M408" s="242">
        <f>IF(COUNTA($F$6:$F$10)=5,(F409-F24)/F24,"")</f>
        <v>0.88947039166016106</v>
      </c>
      <c r="N408" s="238">
        <f t="shared" si="39"/>
        <v>1</v>
      </c>
      <c r="O408" s="14" t="str">
        <f t="shared" si="40"/>
        <v>new</v>
      </c>
      <c r="P408" s="14"/>
      <c r="Q408" s="14"/>
      <c r="R408" s="14"/>
      <c r="S408" s="14"/>
      <c r="T408" s="14"/>
      <c r="U408" s="14"/>
      <c r="V408" s="14"/>
      <c r="W408" s="39" t="str">
        <f>IF(AND(L408="WIN",L409&lt;&gt;"WIN"),SUMIF(L$24:L408,"WIN",K$24:K408)-SUM(W$23:W407),"")</f>
        <v/>
      </c>
      <c r="X408" s="41" t="str">
        <f>IF(AND(L408="LOSS",L409&lt;&gt;"LOSS"),SUMIF(L$24:L408,"LOSS",K$24:K408)-SUM(X$23:X407),"")</f>
        <v/>
      </c>
      <c r="Y408" s="8"/>
      <c r="Z408" s="85"/>
      <c r="AA408" s="85"/>
      <c r="AB408" s="85"/>
      <c r="AC408" s="85"/>
      <c r="AD408" s="85"/>
      <c r="AE408" s="85"/>
      <c r="AF408" s="85"/>
      <c r="AG408" s="85"/>
      <c r="AH408" s="85"/>
      <c r="AI408" s="85"/>
      <c r="AJ408" s="85"/>
      <c r="AK408" s="85"/>
      <c r="AL408" s="85"/>
      <c r="AM408" s="85"/>
      <c r="AN408" s="85"/>
      <c r="AO408" s="85"/>
      <c r="AP408" s="85"/>
      <c r="AQ408" s="85"/>
      <c r="AR408" s="85"/>
      <c r="AS408" s="85"/>
      <c r="AT408" s="85"/>
      <c r="AU408" s="85"/>
      <c r="AV408" s="85"/>
      <c r="AW408" s="85"/>
      <c r="AX408" s="85"/>
      <c r="AY408" s="85"/>
      <c r="AZ408" s="85"/>
      <c r="BA408" s="85"/>
    </row>
    <row r="409" spans="1:53" ht="15.75">
      <c r="A409" s="149"/>
      <c r="B409" s="305" t="s">
        <v>453</v>
      </c>
      <c r="C409" s="306"/>
      <c r="D409" s="271">
        <v>45</v>
      </c>
      <c r="E409" s="272"/>
      <c r="F409" s="278">
        <f t="shared" si="41"/>
        <v>18894.703916601611</v>
      </c>
      <c r="G409" s="279"/>
      <c r="H409" s="275">
        <f t="shared" ref="H409:H472" si="43">IF(COUNTBLANK($F$6:$F$10),"",F409*$F$7)</f>
        <v>188.94703916601611</v>
      </c>
      <c r="I409" s="276"/>
      <c r="J409" s="277"/>
      <c r="K409" s="75">
        <f t="shared" si="42"/>
        <v>226.73644699921934</v>
      </c>
      <c r="L409" s="81" t="str">
        <f t="shared" ref="L409:L472" si="44">IF(D409="","",IF(D409&lt;$F$8,"WIN","LOSS"))</f>
        <v>WIN</v>
      </c>
      <c r="M409" s="242">
        <f>IF(COUNTA($F$6:$F$10)=5,(F410-F24)/F24,"")</f>
        <v>0.91214403636008323</v>
      </c>
      <c r="N409" s="238">
        <f t="shared" ref="N409:N472" si="45">IF(L409=L408,N408+1,1)</f>
        <v>2</v>
      </c>
      <c r="O409" s="14" t="str">
        <f t="shared" ref="O409:O472" si="46">IF(N409=1,IF(N410=1,"last","new"),IF(N410=1,"last","middle"))</f>
        <v>last</v>
      </c>
      <c r="P409" s="14"/>
      <c r="Q409" s="14"/>
      <c r="R409" s="14"/>
      <c r="S409" s="14"/>
      <c r="T409" s="14"/>
      <c r="U409" s="14"/>
      <c r="V409" s="14"/>
      <c r="W409" s="39">
        <f>IF(AND(L409="WIN",L410&lt;&gt;"WIN"),SUMIF(L$24:L409,"WIN",K$24:K409)-SUM(W$23:W408),"")</f>
        <v>450.78431952808751</v>
      </c>
      <c r="X409" s="41" t="str">
        <f>IF(AND(L409="LOSS",L410&lt;&gt;"LOSS"),SUMIF(L$24:L409,"LOSS",K$24:K409)-SUM(X$23:X408),"")</f>
        <v/>
      </c>
      <c r="Y409" s="8"/>
      <c r="Z409" s="85"/>
      <c r="AA409" s="85"/>
      <c r="AB409" s="85"/>
      <c r="AC409" s="85"/>
      <c r="AD409" s="85"/>
      <c r="AE409" s="85"/>
      <c r="AF409" s="85"/>
      <c r="AG409" s="85"/>
      <c r="AH409" s="85"/>
      <c r="AI409" s="85"/>
      <c r="AJ409" s="85"/>
      <c r="AK409" s="85"/>
      <c r="AL409" s="85"/>
      <c r="AM409" s="85"/>
      <c r="AN409" s="85"/>
      <c r="AO409" s="85"/>
      <c r="AP409" s="85"/>
      <c r="AQ409" s="85"/>
      <c r="AR409" s="85"/>
      <c r="AS409" s="85"/>
      <c r="AT409" s="85"/>
      <c r="AU409" s="85"/>
      <c r="AV409" s="85"/>
      <c r="AW409" s="85"/>
      <c r="AX409" s="85"/>
      <c r="AY409" s="85"/>
      <c r="AZ409" s="85"/>
      <c r="BA409" s="85"/>
    </row>
    <row r="410" spans="1:53" ht="15.75">
      <c r="A410" s="149"/>
      <c r="B410" s="305" t="s">
        <v>454</v>
      </c>
      <c r="C410" s="306"/>
      <c r="D410" s="271">
        <v>88</v>
      </c>
      <c r="E410" s="272"/>
      <c r="F410" s="278">
        <f t="shared" ref="F410:F473" si="47">IF(COUNTBLANK($F$6:$F$10),"",IF(D409&lt;$F$8,(1+$F$7*$F$9)*F409-$F$10,(1-$F$7)*F409-$F$10))</f>
        <v>19121.440363600832</v>
      </c>
      <c r="G410" s="279"/>
      <c r="H410" s="275">
        <f t="shared" si="43"/>
        <v>191.21440363600831</v>
      </c>
      <c r="I410" s="276"/>
      <c r="J410" s="277"/>
      <c r="K410" s="75">
        <f t="shared" ref="K410:K473" si="48">IF(COUNTBLANK($F$6:$F$10),"", IF(L410="win", H410*$F$9-$F$10, IF(L410="loss", -H410-$F$10)))</f>
        <v>-191.21440363600831</v>
      </c>
      <c r="L410" s="81" t="str">
        <f t="shared" si="44"/>
        <v>LOSS</v>
      </c>
      <c r="M410" s="242">
        <f>IF(COUNTA($F$6:$F$10)=5,(F411-F24)/F24,"")</f>
        <v>0.89302259599648237</v>
      </c>
      <c r="N410" s="238">
        <f t="shared" si="45"/>
        <v>1</v>
      </c>
      <c r="O410" s="14" t="str">
        <f t="shared" si="46"/>
        <v>new</v>
      </c>
      <c r="P410" s="14"/>
      <c r="Q410" s="14"/>
      <c r="R410" s="14"/>
      <c r="S410" s="14"/>
      <c r="T410" s="14"/>
      <c r="U410" s="14"/>
      <c r="V410" s="14"/>
      <c r="W410" s="39" t="str">
        <f>IF(AND(L410="WIN",L411&lt;&gt;"WIN"),SUMIF(L$24:L410,"WIN",K$24:K410)-SUM(W$23:W409),"")</f>
        <v/>
      </c>
      <c r="X410" s="41" t="str">
        <f>IF(AND(L410="LOSS",L411&lt;&gt;"LOSS"),SUMIF(L$24:L410,"LOSS",K$24:K410)-SUM(X$23:X409),"")</f>
        <v/>
      </c>
      <c r="Y410" s="8"/>
      <c r="Z410" s="85"/>
      <c r="AA410" s="85"/>
      <c r="AB410" s="85"/>
      <c r="AC410" s="85"/>
      <c r="AD410" s="85"/>
      <c r="AE410" s="85"/>
      <c r="AF410" s="85"/>
      <c r="AG410" s="85"/>
      <c r="AH410" s="85"/>
      <c r="AI410" s="85"/>
      <c r="AJ410" s="85"/>
      <c r="AK410" s="85"/>
      <c r="AL410" s="85"/>
      <c r="AM410" s="85"/>
      <c r="AN410" s="85"/>
      <c r="AO410" s="85"/>
      <c r="AP410" s="85"/>
      <c r="AQ410" s="85"/>
      <c r="AR410" s="85"/>
      <c r="AS410" s="85"/>
      <c r="AT410" s="85"/>
      <c r="AU410" s="85"/>
      <c r="AV410" s="85"/>
      <c r="AW410" s="85"/>
      <c r="AX410" s="85"/>
      <c r="AY410" s="85"/>
      <c r="AZ410" s="85"/>
      <c r="BA410" s="85"/>
    </row>
    <row r="411" spans="1:53" ht="15.75">
      <c r="A411" s="149"/>
      <c r="B411" s="305" t="s">
        <v>455</v>
      </c>
      <c r="C411" s="306"/>
      <c r="D411" s="271">
        <v>57</v>
      </c>
      <c r="E411" s="272"/>
      <c r="F411" s="278">
        <f t="shared" si="47"/>
        <v>18930.225959964824</v>
      </c>
      <c r="G411" s="279"/>
      <c r="H411" s="275">
        <f t="shared" si="43"/>
        <v>189.30225959964824</v>
      </c>
      <c r="I411" s="276"/>
      <c r="J411" s="277"/>
      <c r="K411" s="75">
        <f t="shared" si="48"/>
        <v>-189.30225959964824</v>
      </c>
      <c r="L411" s="81" t="str">
        <f t="shared" si="44"/>
        <v>LOSS</v>
      </c>
      <c r="M411" s="242">
        <f>IF(COUNTA($F$6:$F$10)=5,(F412-F24)/F24,"")</f>
        <v>0.87409237003651763</v>
      </c>
      <c r="N411" s="238">
        <f t="shared" si="45"/>
        <v>2</v>
      </c>
      <c r="O411" s="14" t="str">
        <f t="shared" si="46"/>
        <v>middle</v>
      </c>
      <c r="P411" s="14"/>
      <c r="Q411" s="14"/>
      <c r="R411" s="14"/>
      <c r="S411" s="14"/>
      <c r="T411" s="14"/>
      <c r="U411" s="14"/>
      <c r="V411" s="14"/>
      <c r="W411" s="39" t="str">
        <f>IF(AND(L411="WIN",L412&lt;&gt;"WIN"),SUMIF(L$24:L411,"WIN",K$24:K411)-SUM(W$23:W410),"")</f>
        <v/>
      </c>
      <c r="X411" s="41" t="str">
        <f>IF(AND(L411="LOSS",L412&lt;&gt;"LOSS"),SUMIF(L$24:L411,"LOSS",K$24:K411)-SUM(X$23:X410),"")</f>
        <v/>
      </c>
      <c r="Y411" s="8"/>
      <c r="Z411" s="85"/>
      <c r="AA411" s="85"/>
      <c r="AB411" s="85"/>
      <c r="AC411" s="85"/>
      <c r="AD411" s="85"/>
      <c r="AE411" s="85"/>
      <c r="AF411" s="85"/>
      <c r="AG411" s="85"/>
      <c r="AH411" s="85"/>
      <c r="AI411" s="85"/>
      <c r="AJ411" s="85"/>
      <c r="AK411" s="85"/>
      <c r="AL411" s="85"/>
      <c r="AM411" s="85"/>
      <c r="AN411" s="85"/>
      <c r="AO411" s="85"/>
      <c r="AP411" s="85"/>
      <c r="AQ411" s="85"/>
      <c r="AR411" s="85"/>
      <c r="AS411" s="85"/>
      <c r="AT411" s="85"/>
      <c r="AU411" s="85"/>
      <c r="AV411" s="85"/>
      <c r="AW411" s="85"/>
      <c r="AX411" s="85"/>
      <c r="AY411" s="85"/>
      <c r="AZ411" s="85"/>
      <c r="BA411" s="85"/>
    </row>
    <row r="412" spans="1:53" ht="15.75">
      <c r="A412" s="149"/>
      <c r="B412" s="305" t="s">
        <v>456</v>
      </c>
      <c r="C412" s="306"/>
      <c r="D412" s="271">
        <v>68</v>
      </c>
      <c r="E412" s="272"/>
      <c r="F412" s="278">
        <f t="shared" si="47"/>
        <v>18740.923700365176</v>
      </c>
      <c r="G412" s="279"/>
      <c r="H412" s="275">
        <f t="shared" si="43"/>
        <v>187.40923700365175</v>
      </c>
      <c r="I412" s="276"/>
      <c r="J412" s="277"/>
      <c r="K412" s="75">
        <f t="shared" si="48"/>
        <v>-187.40923700365175</v>
      </c>
      <c r="L412" s="81" t="str">
        <f t="shared" si="44"/>
        <v>LOSS</v>
      </c>
      <c r="M412" s="242">
        <f>IF(COUNTA($F$6:$F$10)=5,(F413-F24)/F24,"")</f>
        <v>0.85535144633615234</v>
      </c>
      <c r="N412" s="238">
        <f t="shared" si="45"/>
        <v>3</v>
      </c>
      <c r="O412" s="14" t="str">
        <f t="shared" si="46"/>
        <v>middle</v>
      </c>
      <c r="P412" s="14"/>
      <c r="Q412" s="14"/>
      <c r="R412" s="14"/>
      <c r="S412" s="14"/>
      <c r="T412" s="14"/>
      <c r="U412" s="14"/>
      <c r="V412" s="14"/>
      <c r="W412" s="39" t="str">
        <f>IF(AND(L412="WIN",L413&lt;&gt;"WIN"),SUMIF(L$24:L412,"WIN",K$24:K412)-SUM(W$23:W411),"")</f>
        <v/>
      </c>
      <c r="X412" s="41" t="str">
        <f>IF(AND(L412="LOSS",L413&lt;&gt;"LOSS"),SUMIF(L$24:L412,"LOSS",K$24:K412)-SUM(X$23:X411),"")</f>
        <v/>
      </c>
      <c r="Y412" s="8"/>
      <c r="Z412" s="85"/>
      <c r="AA412" s="85"/>
      <c r="AB412" s="85"/>
      <c r="AC412" s="85"/>
      <c r="AD412" s="85"/>
      <c r="AE412" s="85"/>
      <c r="AF412" s="85"/>
      <c r="AG412" s="85"/>
      <c r="AH412" s="85"/>
      <c r="AI412" s="85"/>
      <c r="AJ412" s="85"/>
      <c r="AK412" s="85"/>
      <c r="AL412" s="85"/>
      <c r="AM412" s="85"/>
      <c r="AN412" s="85"/>
      <c r="AO412" s="85"/>
      <c r="AP412" s="85"/>
      <c r="AQ412" s="85"/>
      <c r="AR412" s="85"/>
      <c r="AS412" s="85"/>
      <c r="AT412" s="85"/>
      <c r="AU412" s="85"/>
      <c r="AV412" s="85"/>
      <c r="AW412" s="85"/>
      <c r="AX412" s="85"/>
      <c r="AY412" s="85"/>
      <c r="AZ412" s="85"/>
      <c r="BA412" s="85"/>
    </row>
    <row r="413" spans="1:53" ht="15.75">
      <c r="A413" s="149"/>
      <c r="B413" s="305" t="s">
        <v>457</v>
      </c>
      <c r="C413" s="306"/>
      <c r="D413" s="271">
        <v>59</v>
      </c>
      <c r="E413" s="272"/>
      <c r="F413" s="278">
        <f t="shared" si="47"/>
        <v>18553.514463361524</v>
      </c>
      <c r="G413" s="279"/>
      <c r="H413" s="275">
        <f t="shared" si="43"/>
        <v>185.53514463361523</v>
      </c>
      <c r="I413" s="276"/>
      <c r="J413" s="277"/>
      <c r="K413" s="75">
        <f t="shared" si="48"/>
        <v>-185.53514463361523</v>
      </c>
      <c r="L413" s="81" t="str">
        <f t="shared" si="44"/>
        <v>LOSS</v>
      </c>
      <c r="M413" s="242">
        <f>IF(COUNTA($F$6:$F$10)=5,(F414-F24)/F24,"")</f>
        <v>0.83679793187279061</v>
      </c>
      <c r="N413" s="238">
        <f t="shared" si="45"/>
        <v>4</v>
      </c>
      <c r="O413" s="14" t="str">
        <f t="shared" si="46"/>
        <v>last</v>
      </c>
      <c r="P413" s="14"/>
      <c r="Q413" s="14"/>
      <c r="R413" s="14"/>
      <c r="S413" s="14"/>
      <c r="T413" s="14"/>
      <c r="U413" s="14"/>
      <c r="V413" s="14"/>
      <c r="W413" s="39" t="str">
        <f>IF(AND(L413="WIN",L414&lt;&gt;"WIN"),SUMIF(L$24:L413,"WIN",K$24:K413)-SUM(W$23:W412),"")</f>
        <v/>
      </c>
      <c r="X413" s="41">
        <f>IF(AND(L413="LOSS",L414&lt;&gt;"LOSS"),SUMIF(L$24:L413,"LOSS",K$24:K413)-SUM(X$23:X412),"")</f>
        <v>-753.46104487292178</v>
      </c>
      <c r="Y413" s="8"/>
      <c r="Z413" s="85"/>
      <c r="AA413" s="85"/>
      <c r="AB413" s="85"/>
      <c r="AC413" s="85"/>
      <c r="AD413" s="85"/>
      <c r="AE413" s="85"/>
      <c r="AF413" s="85"/>
      <c r="AG413" s="85"/>
      <c r="AH413" s="85"/>
      <c r="AI413" s="85"/>
      <c r="AJ413" s="85"/>
      <c r="AK413" s="85"/>
      <c r="AL413" s="85"/>
      <c r="AM413" s="85"/>
      <c r="AN413" s="85"/>
      <c r="AO413" s="85"/>
      <c r="AP413" s="85"/>
      <c r="AQ413" s="85"/>
      <c r="AR413" s="85"/>
      <c r="AS413" s="85"/>
      <c r="AT413" s="85"/>
      <c r="AU413" s="85"/>
      <c r="AV413" s="85"/>
      <c r="AW413" s="85"/>
      <c r="AX413" s="85"/>
      <c r="AY413" s="85"/>
      <c r="AZ413" s="85"/>
      <c r="BA413" s="85"/>
    </row>
    <row r="414" spans="1:53" ht="15.75">
      <c r="A414" s="149"/>
      <c r="B414" s="305" t="s">
        <v>458</v>
      </c>
      <c r="C414" s="306"/>
      <c r="D414" s="271">
        <v>51</v>
      </c>
      <c r="E414" s="272"/>
      <c r="F414" s="278">
        <f t="shared" si="47"/>
        <v>18367.979318727907</v>
      </c>
      <c r="G414" s="279"/>
      <c r="H414" s="275">
        <f t="shared" si="43"/>
        <v>183.67979318727907</v>
      </c>
      <c r="I414" s="276"/>
      <c r="J414" s="277"/>
      <c r="K414" s="75">
        <f t="shared" si="48"/>
        <v>220.41575182473488</v>
      </c>
      <c r="L414" s="81" t="str">
        <f t="shared" si="44"/>
        <v>WIN</v>
      </c>
      <c r="M414" s="242">
        <f>IF(COUNTA($F$6:$F$10)=5,(F415-F24)/F24,"")</f>
        <v>0.85883950705526402</v>
      </c>
      <c r="N414" s="238">
        <f t="shared" si="45"/>
        <v>1</v>
      </c>
      <c r="O414" s="14" t="str">
        <f t="shared" si="46"/>
        <v>last</v>
      </c>
      <c r="P414" s="14"/>
      <c r="Q414" s="14"/>
      <c r="R414" s="14"/>
      <c r="S414" s="14"/>
      <c r="T414" s="14"/>
      <c r="U414" s="14"/>
      <c r="V414" s="14"/>
      <c r="W414" s="39">
        <f>IF(AND(L414="WIN",L415&lt;&gt;"WIN"),SUMIF(L$24:L414,"WIN",K$24:K414)-SUM(W$23:W413),"")</f>
        <v>220.41575182473753</v>
      </c>
      <c r="X414" s="41" t="str">
        <f>IF(AND(L414="LOSS",L415&lt;&gt;"LOSS"),SUMIF(L$24:L414,"LOSS",K$24:K414)-SUM(X$23:X413),"")</f>
        <v/>
      </c>
      <c r="Y414" s="8"/>
      <c r="Z414" s="85"/>
      <c r="AA414" s="85"/>
      <c r="AB414" s="85"/>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c r="AZ414" s="85"/>
      <c r="BA414" s="85"/>
    </row>
    <row r="415" spans="1:53" ht="15.75">
      <c r="A415" s="149"/>
      <c r="B415" s="305" t="s">
        <v>459</v>
      </c>
      <c r="C415" s="306"/>
      <c r="D415" s="271">
        <v>60</v>
      </c>
      <c r="E415" s="272"/>
      <c r="F415" s="278">
        <f t="shared" si="47"/>
        <v>18588.39507055264</v>
      </c>
      <c r="G415" s="279"/>
      <c r="H415" s="275">
        <f t="shared" si="43"/>
        <v>185.88395070552642</v>
      </c>
      <c r="I415" s="276"/>
      <c r="J415" s="277"/>
      <c r="K415" s="75">
        <f t="shared" si="48"/>
        <v>-185.88395070552642</v>
      </c>
      <c r="L415" s="81" t="str">
        <f t="shared" si="44"/>
        <v>LOSS</v>
      </c>
      <c r="M415" s="242">
        <f>IF(COUNTA($F$6:$F$10)=5,(F416-F24)/F24,"")</f>
        <v>0.84025111198471136</v>
      </c>
      <c r="N415" s="238">
        <f t="shared" si="45"/>
        <v>1</v>
      </c>
      <c r="O415" s="14" t="str">
        <f t="shared" si="46"/>
        <v>last</v>
      </c>
      <c r="P415" s="14"/>
      <c r="Q415" s="14"/>
      <c r="R415" s="14"/>
      <c r="S415" s="14"/>
      <c r="T415" s="14"/>
      <c r="U415" s="14"/>
      <c r="V415" s="14"/>
      <c r="W415" s="39" t="str">
        <f>IF(AND(L415="WIN",L416&lt;&gt;"WIN"),SUMIF(L$24:L415,"WIN",K$24:K415)-SUM(W$23:W414),"")</f>
        <v/>
      </c>
      <c r="X415" s="41">
        <f>IF(AND(L415="LOSS",L416&lt;&gt;"LOSS"),SUMIF(L$24:L415,"LOSS",K$24:K415)-SUM(X$23:X414),"")</f>
        <v>-185.88395070552724</v>
      </c>
      <c r="Y415" s="8"/>
      <c r="Z415" s="85"/>
      <c r="AA415" s="85"/>
      <c r="AB415" s="85"/>
      <c r="AC415" s="85"/>
      <c r="AD415" s="85"/>
      <c r="AE415" s="85"/>
      <c r="AF415" s="85"/>
      <c r="AG415" s="85"/>
      <c r="AH415" s="85"/>
      <c r="AI415" s="85"/>
      <c r="AJ415" s="85"/>
      <c r="AK415" s="85"/>
      <c r="AL415" s="85"/>
      <c r="AM415" s="85"/>
      <c r="AN415" s="85"/>
      <c r="AO415" s="85"/>
      <c r="AP415" s="85"/>
      <c r="AQ415" s="85"/>
      <c r="AR415" s="85"/>
      <c r="AS415" s="85"/>
      <c r="AT415" s="85"/>
      <c r="AU415" s="85"/>
      <c r="AV415" s="85"/>
      <c r="AW415" s="85"/>
      <c r="AX415" s="85"/>
      <c r="AY415" s="85"/>
      <c r="AZ415" s="85"/>
      <c r="BA415" s="85"/>
    </row>
    <row r="416" spans="1:53" ht="15.75">
      <c r="A416" s="149"/>
      <c r="B416" s="305" t="s">
        <v>460</v>
      </c>
      <c r="C416" s="306"/>
      <c r="D416" s="271">
        <v>6</v>
      </c>
      <c r="E416" s="272"/>
      <c r="F416" s="278">
        <f t="shared" si="47"/>
        <v>18402.511119847113</v>
      </c>
      <c r="G416" s="279"/>
      <c r="H416" s="275">
        <f t="shared" si="43"/>
        <v>184.02511119847114</v>
      </c>
      <c r="I416" s="276"/>
      <c r="J416" s="277"/>
      <c r="K416" s="75">
        <f t="shared" si="48"/>
        <v>220.83013343816535</v>
      </c>
      <c r="L416" s="81" t="str">
        <f t="shared" si="44"/>
        <v>WIN</v>
      </c>
      <c r="M416" s="242">
        <f>IF(COUNTA($F$6:$F$10)=5,(F417-F24)/F24,"")</f>
        <v>0.86233412532852782</v>
      </c>
      <c r="N416" s="238">
        <f t="shared" si="45"/>
        <v>1</v>
      </c>
      <c r="O416" s="14" t="str">
        <f t="shared" si="46"/>
        <v>last</v>
      </c>
      <c r="P416" s="14"/>
      <c r="Q416" s="14"/>
      <c r="R416" s="14"/>
      <c r="S416" s="14"/>
      <c r="T416" s="14"/>
      <c r="U416" s="14"/>
      <c r="V416" s="14"/>
      <c r="W416" s="39">
        <f>IF(AND(L416="WIN",L417&lt;&gt;"WIN"),SUMIF(L$24:L416,"WIN",K$24:K416)-SUM(W$23:W415),"")</f>
        <v>220.83013343816856</v>
      </c>
      <c r="X416" s="41" t="str">
        <f>IF(AND(L416="LOSS",L417&lt;&gt;"LOSS"),SUMIF(L$24:L416,"LOSS",K$24:K416)-SUM(X$23:X415),"")</f>
        <v/>
      </c>
      <c r="Y416" s="8"/>
      <c r="Z416" s="85"/>
      <c r="AA416" s="85"/>
      <c r="AB416" s="85"/>
      <c r="AC416" s="85"/>
      <c r="AD416" s="85"/>
      <c r="AE416" s="85"/>
      <c r="AF416" s="85"/>
      <c r="AG416" s="85"/>
      <c r="AH416" s="85"/>
      <c r="AI416" s="85"/>
      <c r="AJ416" s="85"/>
      <c r="AK416" s="85"/>
      <c r="AL416" s="85"/>
      <c r="AM416" s="85"/>
      <c r="AN416" s="85"/>
      <c r="AO416" s="85"/>
      <c r="AP416" s="85"/>
      <c r="AQ416" s="85"/>
      <c r="AR416" s="85"/>
      <c r="AS416" s="85"/>
      <c r="AT416" s="85"/>
      <c r="AU416" s="85"/>
      <c r="AV416" s="85"/>
      <c r="AW416" s="85"/>
      <c r="AX416" s="85"/>
      <c r="AY416" s="85"/>
      <c r="AZ416" s="85"/>
      <c r="BA416" s="85"/>
    </row>
    <row r="417" spans="1:53" ht="15.75">
      <c r="A417" s="149"/>
      <c r="B417" s="305" t="s">
        <v>461</v>
      </c>
      <c r="C417" s="306"/>
      <c r="D417" s="271">
        <v>90</v>
      </c>
      <c r="E417" s="272"/>
      <c r="F417" s="278">
        <f t="shared" si="47"/>
        <v>18623.341253285278</v>
      </c>
      <c r="G417" s="279"/>
      <c r="H417" s="275">
        <f t="shared" si="43"/>
        <v>186.23341253285278</v>
      </c>
      <c r="I417" s="276"/>
      <c r="J417" s="277"/>
      <c r="K417" s="75">
        <f t="shared" si="48"/>
        <v>-186.23341253285278</v>
      </c>
      <c r="L417" s="81" t="str">
        <f t="shared" si="44"/>
        <v>LOSS</v>
      </c>
      <c r="M417" s="242">
        <f>IF(COUNTA($F$6:$F$10)=5,(F418-F24)/F24,"")</f>
        <v>0.84371078407524258</v>
      </c>
      <c r="N417" s="238">
        <f t="shared" si="45"/>
        <v>1</v>
      </c>
      <c r="O417" s="14" t="str">
        <f t="shared" si="46"/>
        <v>last</v>
      </c>
      <c r="P417" s="14"/>
      <c r="Q417" s="14"/>
      <c r="R417" s="14"/>
      <c r="S417" s="14"/>
      <c r="T417" s="14"/>
      <c r="U417" s="14"/>
      <c r="V417" s="14"/>
      <c r="W417" s="39" t="str">
        <f>IF(AND(L417="WIN",L418&lt;&gt;"WIN"),SUMIF(L$24:L417,"WIN",K$24:K417)-SUM(W$23:W416),"")</f>
        <v/>
      </c>
      <c r="X417" s="41">
        <f>IF(AND(L417="LOSS",L418&lt;&gt;"LOSS"),SUMIF(L$24:L417,"LOSS",K$24:K417)-SUM(X$23:X416),"")</f>
        <v>-186.23341253285253</v>
      </c>
      <c r="Y417" s="8"/>
      <c r="Z417" s="85"/>
      <c r="AA417" s="85"/>
      <c r="AB417" s="85"/>
      <c r="AC417" s="85"/>
      <c r="AD417" s="85"/>
      <c r="AE417" s="85"/>
      <c r="AF417" s="85"/>
      <c r="AG417" s="85"/>
      <c r="AH417" s="85"/>
      <c r="AI417" s="85"/>
      <c r="AJ417" s="85"/>
      <c r="AK417" s="85"/>
      <c r="AL417" s="85"/>
      <c r="AM417" s="85"/>
      <c r="AN417" s="85"/>
      <c r="AO417" s="85"/>
      <c r="AP417" s="85"/>
      <c r="AQ417" s="85"/>
      <c r="AR417" s="85"/>
      <c r="AS417" s="85"/>
      <c r="AT417" s="85"/>
      <c r="AU417" s="85"/>
      <c r="AV417" s="85"/>
      <c r="AW417" s="85"/>
      <c r="AX417" s="85"/>
      <c r="AY417" s="85"/>
      <c r="AZ417" s="85"/>
      <c r="BA417" s="85"/>
    </row>
    <row r="418" spans="1:53" ht="15.75">
      <c r="A418" s="149"/>
      <c r="B418" s="305" t="s">
        <v>462</v>
      </c>
      <c r="C418" s="306"/>
      <c r="D418" s="271">
        <v>3</v>
      </c>
      <c r="E418" s="272"/>
      <c r="F418" s="278">
        <f t="shared" si="47"/>
        <v>18437.107840752426</v>
      </c>
      <c r="G418" s="279"/>
      <c r="H418" s="275">
        <f t="shared" si="43"/>
        <v>184.37107840752427</v>
      </c>
      <c r="I418" s="276"/>
      <c r="J418" s="277"/>
      <c r="K418" s="75">
        <f t="shared" si="48"/>
        <v>221.2452940890291</v>
      </c>
      <c r="L418" s="81" t="str">
        <f t="shared" si="44"/>
        <v>WIN</v>
      </c>
      <c r="M418" s="242">
        <f>IF(COUNTA($F$6:$F$10)=5,(F419-F24)/F24,"")</f>
        <v>0.86583531348414544</v>
      </c>
      <c r="N418" s="238">
        <f t="shared" si="45"/>
        <v>1</v>
      </c>
      <c r="O418" s="14" t="str">
        <f t="shared" si="46"/>
        <v>last</v>
      </c>
      <c r="P418" s="14"/>
      <c r="Q418" s="14"/>
      <c r="R418" s="14"/>
      <c r="S418" s="14"/>
      <c r="T418" s="14"/>
      <c r="U418" s="14"/>
      <c r="V418" s="14"/>
      <c r="W418" s="39">
        <f>IF(AND(L418="WIN",L419&lt;&gt;"WIN"),SUMIF(L$24:L418,"WIN",K$24:K418)-SUM(W$23:W417),"")</f>
        <v>221.2452940890289</v>
      </c>
      <c r="X418" s="41" t="str">
        <f>IF(AND(L418="LOSS",L419&lt;&gt;"LOSS"),SUMIF(L$24:L418,"LOSS",K$24:K418)-SUM(X$23:X417),"")</f>
        <v/>
      </c>
      <c r="Y418" s="8"/>
      <c r="Z418" s="85"/>
      <c r="AA418" s="85"/>
      <c r="AB418" s="85"/>
      <c r="AC418" s="85"/>
      <c r="AD418" s="85"/>
      <c r="AE418" s="85"/>
      <c r="AF418" s="85"/>
      <c r="AG418" s="85"/>
      <c r="AH418" s="85"/>
      <c r="AI418" s="85"/>
      <c r="AJ418" s="85"/>
      <c r="AK418" s="85"/>
      <c r="AL418" s="85"/>
      <c r="AM418" s="85"/>
      <c r="AN418" s="85"/>
      <c r="AO418" s="85"/>
      <c r="AP418" s="85"/>
      <c r="AQ418" s="85"/>
      <c r="AR418" s="85"/>
      <c r="AS418" s="85"/>
      <c r="AT418" s="85"/>
      <c r="AU418" s="85"/>
      <c r="AV418" s="85"/>
      <c r="AW418" s="85"/>
      <c r="AX418" s="85"/>
      <c r="AY418" s="85"/>
      <c r="AZ418" s="85"/>
      <c r="BA418" s="85"/>
    </row>
    <row r="419" spans="1:53" ht="15.75">
      <c r="A419" s="149"/>
      <c r="B419" s="305" t="s">
        <v>463</v>
      </c>
      <c r="C419" s="306"/>
      <c r="D419" s="271">
        <v>62</v>
      </c>
      <c r="E419" s="272"/>
      <c r="F419" s="278">
        <f t="shared" si="47"/>
        <v>18658.353134841454</v>
      </c>
      <c r="G419" s="279"/>
      <c r="H419" s="275">
        <f t="shared" si="43"/>
        <v>186.58353134841454</v>
      </c>
      <c r="I419" s="276"/>
      <c r="J419" s="277"/>
      <c r="K419" s="75">
        <f t="shared" si="48"/>
        <v>-186.58353134841454</v>
      </c>
      <c r="L419" s="81" t="str">
        <f t="shared" si="44"/>
        <v>LOSS</v>
      </c>
      <c r="M419" s="242">
        <f>IF(COUNTA($F$6:$F$10)=5,(F420-F24)/F24,"")</f>
        <v>0.84717696034930412</v>
      </c>
      <c r="N419" s="238">
        <f t="shared" si="45"/>
        <v>1</v>
      </c>
      <c r="O419" s="14" t="str">
        <f t="shared" si="46"/>
        <v>new</v>
      </c>
      <c r="P419" s="14"/>
      <c r="Q419" s="14"/>
      <c r="R419" s="14"/>
      <c r="S419" s="14"/>
      <c r="T419" s="14"/>
      <c r="U419" s="14"/>
      <c r="V419" s="14"/>
      <c r="W419" s="39" t="str">
        <f>IF(AND(L419="WIN",L420&lt;&gt;"WIN"),SUMIF(L$24:L419,"WIN",K$24:K419)-SUM(W$23:W418),"")</f>
        <v/>
      </c>
      <c r="X419" s="41" t="str">
        <f>IF(AND(L419="LOSS",L420&lt;&gt;"LOSS"),SUMIF(L$24:L419,"LOSS",K$24:K419)-SUM(X$23:X418),"")</f>
        <v/>
      </c>
      <c r="Y419" s="8"/>
      <c r="Z419" s="85"/>
      <c r="AA419" s="85"/>
      <c r="AB419" s="85"/>
      <c r="AC419" s="85"/>
      <c r="AD419" s="85"/>
      <c r="AE419" s="85"/>
      <c r="AF419" s="85"/>
      <c r="AG419" s="85"/>
      <c r="AH419" s="85"/>
      <c r="AI419" s="85"/>
      <c r="AJ419" s="85"/>
      <c r="AK419" s="85"/>
      <c r="AL419" s="85"/>
      <c r="AM419" s="85"/>
      <c r="AN419" s="85"/>
      <c r="AO419" s="85"/>
      <c r="AP419" s="85"/>
      <c r="AQ419" s="85"/>
      <c r="AR419" s="85"/>
      <c r="AS419" s="85"/>
      <c r="AT419" s="85"/>
      <c r="AU419" s="85"/>
      <c r="AV419" s="85"/>
      <c r="AW419" s="85"/>
      <c r="AX419" s="85"/>
      <c r="AY419" s="85"/>
      <c r="AZ419" s="85"/>
      <c r="BA419" s="85"/>
    </row>
    <row r="420" spans="1:53" ht="15.75">
      <c r="A420" s="149"/>
      <c r="B420" s="305" t="s">
        <v>464</v>
      </c>
      <c r="C420" s="306"/>
      <c r="D420" s="271">
        <v>96</v>
      </c>
      <c r="E420" s="272"/>
      <c r="F420" s="278">
        <f t="shared" si="47"/>
        <v>18471.769603493041</v>
      </c>
      <c r="G420" s="279"/>
      <c r="H420" s="275">
        <f t="shared" si="43"/>
        <v>184.71769603493041</v>
      </c>
      <c r="I420" s="276"/>
      <c r="J420" s="277"/>
      <c r="K420" s="75">
        <f t="shared" si="48"/>
        <v>-184.71769603493041</v>
      </c>
      <c r="L420" s="81" t="str">
        <f t="shared" si="44"/>
        <v>LOSS</v>
      </c>
      <c r="M420" s="242">
        <f>IF(COUNTA($F$6:$F$10)=5,(F421-F24)/F24,"")</f>
        <v>0.82870519074581095</v>
      </c>
      <c r="N420" s="238">
        <f t="shared" si="45"/>
        <v>2</v>
      </c>
      <c r="O420" s="14" t="str">
        <f t="shared" si="46"/>
        <v>middle</v>
      </c>
      <c r="P420" s="14"/>
      <c r="Q420" s="14"/>
      <c r="R420" s="14"/>
      <c r="S420" s="14"/>
      <c r="T420" s="14"/>
      <c r="U420" s="14"/>
      <c r="V420" s="14"/>
      <c r="W420" s="39" t="str">
        <f>IF(AND(L420="WIN",L421&lt;&gt;"WIN"),SUMIF(L$24:L420,"WIN",K$24:K420)-SUM(W$23:W419),"")</f>
        <v/>
      </c>
      <c r="X420" s="41" t="str">
        <f>IF(AND(L420="LOSS",L421&lt;&gt;"LOSS"),SUMIF(L$24:L420,"LOSS",K$24:K420)-SUM(X$23:X419),"")</f>
        <v/>
      </c>
      <c r="Y420" s="8"/>
      <c r="Z420" s="85"/>
      <c r="AA420" s="85"/>
      <c r="AB420" s="85"/>
      <c r="AC420" s="85"/>
      <c r="AD420" s="85"/>
      <c r="AE420" s="85"/>
      <c r="AF420" s="85"/>
      <c r="AG420" s="85"/>
      <c r="AH420" s="85"/>
      <c r="AI420" s="85"/>
      <c r="AJ420" s="85"/>
      <c r="AK420" s="85"/>
      <c r="AL420" s="85"/>
      <c r="AM420" s="85"/>
      <c r="AN420" s="85"/>
      <c r="AO420" s="85"/>
      <c r="AP420" s="85"/>
      <c r="AQ420" s="85"/>
      <c r="AR420" s="85"/>
      <c r="AS420" s="85"/>
      <c r="AT420" s="85"/>
      <c r="AU420" s="85"/>
      <c r="AV420" s="85"/>
      <c r="AW420" s="85"/>
      <c r="AX420" s="85"/>
      <c r="AY420" s="85"/>
      <c r="AZ420" s="85"/>
      <c r="BA420" s="85"/>
    </row>
    <row r="421" spans="1:53" ht="15.75">
      <c r="A421" s="149"/>
      <c r="B421" s="305" t="s">
        <v>465</v>
      </c>
      <c r="C421" s="306"/>
      <c r="D421" s="271">
        <v>96</v>
      </c>
      <c r="E421" s="272"/>
      <c r="F421" s="278">
        <f t="shared" si="47"/>
        <v>18287.05190745811</v>
      </c>
      <c r="G421" s="279"/>
      <c r="H421" s="275">
        <f t="shared" si="43"/>
        <v>182.8705190745811</v>
      </c>
      <c r="I421" s="276"/>
      <c r="J421" s="277"/>
      <c r="K421" s="75">
        <f t="shared" si="48"/>
        <v>-182.8705190745811</v>
      </c>
      <c r="L421" s="81" t="str">
        <f t="shared" si="44"/>
        <v>LOSS</v>
      </c>
      <c r="M421" s="242">
        <f>IF(COUNTA($F$6:$F$10)=5,(F422-F24)/F24,"")</f>
        <v>0.81041813883835279</v>
      </c>
      <c r="N421" s="238">
        <f t="shared" si="45"/>
        <v>3</v>
      </c>
      <c r="O421" s="14" t="str">
        <f t="shared" si="46"/>
        <v>last</v>
      </c>
      <c r="P421" s="14"/>
      <c r="Q421" s="14"/>
      <c r="R421" s="14"/>
      <c r="S421" s="14"/>
      <c r="T421" s="14"/>
      <c r="U421" s="14"/>
      <c r="V421" s="14"/>
      <c r="W421" s="39" t="str">
        <f>IF(AND(L421="WIN",L422&lt;&gt;"WIN"),SUMIF(L$24:L421,"WIN",K$24:K421)-SUM(W$23:W420),"")</f>
        <v/>
      </c>
      <c r="X421" s="41">
        <f>IF(AND(L421="LOSS",L422&lt;&gt;"LOSS"),SUMIF(L$24:L421,"LOSS",K$24:K421)-SUM(X$23:X420),"")</f>
        <v>-554.17174645792693</v>
      </c>
      <c r="Y421" s="8"/>
      <c r="Z421" s="85"/>
      <c r="AA421" s="85"/>
      <c r="AB421" s="85"/>
      <c r="AC421" s="85"/>
      <c r="AD421" s="85"/>
      <c r="AE421" s="85"/>
      <c r="AF421" s="85"/>
      <c r="AG421" s="85"/>
      <c r="AH421" s="85"/>
      <c r="AI421" s="85"/>
      <c r="AJ421" s="85"/>
      <c r="AK421" s="85"/>
      <c r="AL421" s="85"/>
      <c r="AM421" s="85"/>
      <c r="AN421" s="85"/>
      <c r="AO421" s="85"/>
      <c r="AP421" s="85"/>
      <c r="AQ421" s="85"/>
      <c r="AR421" s="85"/>
      <c r="AS421" s="85"/>
      <c r="AT421" s="85"/>
      <c r="AU421" s="85"/>
      <c r="AV421" s="85"/>
      <c r="AW421" s="85"/>
      <c r="AX421" s="85"/>
      <c r="AY421" s="85"/>
      <c r="AZ421" s="85"/>
      <c r="BA421" s="85"/>
    </row>
    <row r="422" spans="1:53" ht="16.5" thickBot="1">
      <c r="A422" s="149"/>
      <c r="B422" s="400" t="s">
        <v>466</v>
      </c>
      <c r="C422" s="401"/>
      <c r="D422" s="415">
        <v>43</v>
      </c>
      <c r="E422" s="416"/>
      <c r="F422" s="469">
        <f t="shared" si="47"/>
        <v>18104.181388383528</v>
      </c>
      <c r="G422" s="470"/>
      <c r="H422" s="390">
        <f t="shared" si="43"/>
        <v>181.04181388383529</v>
      </c>
      <c r="I422" s="391"/>
      <c r="J422" s="392"/>
      <c r="K422" s="76">
        <f t="shared" si="48"/>
        <v>217.25017666060234</v>
      </c>
      <c r="L422" s="82" t="str">
        <f t="shared" si="44"/>
        <v>WIN</v>
      </c>
      <c r="M422" s="243">
        <f>IF(COUNTA($F$6:$F$10)=5,(F423-F24)/F24,"")</f>
        <v>0.83214315650441317</v>
      </c>
      <c r="N422" s="238">
        <f t="shared" si="45"/>
        <v>1</v>
      </c>
      <c r="O422" s="14" t="str">
        <f t="shared" si="46"/>
        <v>last</v>
      </c>
      <c r="P422" s="14"/>
      <c r="Q422" s="14"/>
      <c r="R422" s="14"/>
      <c r="S422" s="14"/>
      <c r="T422" s="14"/>
      <c r="U422" s="14"/>
      <c r="V422" s="14"/>
      <c r="W422" s="39">
        <f>IF(AND(L422="WIN",L423&lt;&gt;"WIN"),SUMIF(L$24:L422,"WIN",K$24:K422)-SUM(W$23:W421),"")</f>
        <v>217.25017666060012</v>
      </c>
      <c r="X422" s="41" t="str">
        <f>IF(AND(L422="LOSS",L423&lt;&gt;"LOSS"),SUMIF(L$24:L422,"LOSS",K$24:K422)-SUM(X$23:X421),"")</f>
        <v/>
      </c>
      <c r="Y422" s="8"/>
      <c r="Z422" s="85"/>
      <c r="AA422" s="85"/>
      <c r="AB422" s="85"/>
      <c r="AC422" s="85"/>
      <c r="AD422" s="85"/>
      <c r="AE422" s="85"/>
      <c r="AF422" s="85"/>
      <c r="AG422" s="85"/>
      <c r="AH422" s="85"/>
      <c r="AI422" s="85"/>
      <c r="AJ422" s="85"/>
      <c r="AK422" s="85"/>
      <c r="AL422" s="85"/>
      <c r="AM422" s="85"/>
      <c r="AN422" s="85"/>
      <c r="AO422" s="85"/>
      <c r="AP422" s="85"/>
      <c r="AQ422" s="85"/>
      <c r="AR422" s="85"/>
      <c r="AS422" s="85"/>
      <c r="AT422" s="85"/>
      <c r="AU422" s="85"/>
      <c r="AV422" s="85"/>
      <c r="AW422" s="85"/>
      <c r="AX422" s="85"/>
      <c r="AY422" s="85"/>
      <c r="AZ422" s="85"/>
      <c r="BA422" s="85"/>
    </row>
    <row r="423" spans="1:53" ht="17.25" thickTop="1" thickBot="1">
      <c r="A423" s="149"/>
      <c r="B423" s="406" t="s">
        <v>467</v>
      </c>
      <c r="C423" s="407"/>
      <c r="D423" s="417">
        <v>64</v>
      </c>
      <c r="E423" s="418"/>
      <c r="F423" s="471">
        <f t="shared" si="47"/>
        <v>18321.431565044131</v>
      </c>
      <c r="G423" s="472"/>
      <c r="H423" s="426">
        <f t="shared" si="43"/>
        <v>183.21431565044131</v>
      </c>
      <c r="I423" s="427"/>
      <c r="J423" s="428"/>
      <c r="K423" s="84">
        <f t="shared" si="48"/>
        <v>-183.21431565044131</v>
      </c>
      <c r="L423" s="78" t="str">
        <f t="shared" si="44"/>
        <v>LOSS</v>
      </c>
      <c r="M423" s="244">
        <f>IF(COUNTA($F$6:$F$10)=5,(F424-F24)/F24,"")</f>
        <v>0.81382172493936888</v>
      </c>
      <c r="N423" s="238">
        <f t="shared" si="45"/>
        <v>1</v>
      </c>
      <c r="O423" s="14" t="str">
        <f t="shared" si="46"/>
        <v>new</v>
      </c>
      <c r="P423" s="14"/>
      <c r="Q423" s="14"/>
      <c r="R423" s="14"/>
      <c r="S423" s="14"/>
      <c r="T423" s="14"/>
      <c r="U423" s="14"/>
      <c r="V423" s="14"/>
      <c r="W423" s="39" t="str">
        <f>IF(AND(L423="WIN",L424&lt;&gt;"WIN"),SUMIF(L$24:L423,"WIN",K$24:K423)-SUM(W$23:W422),"")</f>
        <v/>
      </c>
      <c r="X423" s="41" t="str">
        <f>IF(AND(L423="LOSS",L424&lt;&gt;"LOSS"),SUMIF(L$24:L423,"LOSS",K$24:K423)-SUM(X$23:X422),"")</f>
        <v/>
      </c>
      <c r="Y423" s="8"/>
      <c r="Z423" s="85"/>
      <c r="AA423" s="85"/>
      <c r="AB423" s="85"/>
      <c r="AC423" s="85"/>
      <c r="AD423" s="85"/>
      <c r="AE423" s="85"/>
      <c r="AF423" s="85"/>
      <c r="AG423" s="85"/>
      <c r="AH423" s="85"/>
      <c r="AI423" s="85"/>
      <c r="AJ423" s="85"/>
      <c r="AK423" s="85"/>
      <c r="AL423" s="85"/>
      <c r="AM423" s="85"/>
      <c r="AN423" s="85"/>
      <c r="AO423" s="85"/>
      <c r="AP423" s="85"/>
      <c r="AQ423" s="85"/>
      <c r="AR423" s="85"/>
      <c r="AS423" s="85"/>
      <c r="AT423" s="85"/>
      <c r="AU423" s="85"/>
      <c r="AV423" s="85"/>
      <c r="AW423" s="85"/>
      <c r="AX423" s="85"/>
      <c r="AY423" s="85"/>
      <c r="AZ423" s="85"/>
      <c r="BA423" s="85"/>
    </row>
    <row r="424" spans="1:53" ht="16.5" thickTop="1">
      <c r="A424" s="149"/>
      <c r="B424" s="408" t="s">
        <v>468</v>
      </c>
      <c r="C424" s="409"/>
      <c r="D424" s="419">
        <v>96</v>
      </c>
      <c r="E424" s="420"/>
      <c r="F424" s="473">
        <f t="shared" si="47"/>
        <v>18138.217249393689</v>
      </c>
      <c r="G424" s="474"/>
      <c r="H424" s="429">
        <f t="shared" si="43"/>
        <v>181.38217249393688</v>
      </c>
      <c r="I424" s="430"/>
      <c r="J424" s="431"/>
      <c r="K424" s="77">
        <f t="shared" si="48"/>
        <v>-181.38217249393688</v>
      </c>
      <c r="L424" s="81" t="str">
        <f t="shared" si="44"/>
        <v>LOSS</v>
      </c>
      <c r="M424" s="242">
        <f>IF(COUNTA($F$6:$F$10)=5,(F425-F24)/F24,"")</f>
        <v>0.7956835076899752</v>
      </c>
      <c r="N424" s="238">
        <f t="shared" si="45"/>
        <v>2</v>
      </c>
      <c r="O424" s="14" t="str">
        <f t="shared" si="46"/>
        <v>middle</v>
      </c>
      <c r="P424" s="14"/>
      <c r="Q424" s="14"/>
      <c r="R424" s="14"/>
      <c r="S424" s="14"/>
      <c r="T424" s="14"/>
      <c r="U424" s="14"/>
      <c r="V424" s="14"/>
      <c r="W424" s="39" t="str">
        <f>IF(AND(L424="WIN",L425&lt;&gt;"WIN"),SUMIF(L$24:L424,"WIN",K$24:K424)-SUM(W$23:W423),"")</f>
        <v/>
      </c>
      <c r="X424" s="41" t="str">
        <f>IF(AND(L424="LOSS",L425&lt;&gt;"LOSS"),SUMIF(L$24:L424,"LOSS",K$24:K424)-SUM(X$23:X423),"")</f>
        <v/>
      </c>
      <c r="Y424" s="8"/>
      <c r="Z424" s="85"/>
      <c r="AA424" s="85"/>
      <c r="AB424" s="85"/>
      <c r="AC424" s="85"/>
      <c r="AD424" s="85"/>
      <c r="AE424" s="85"/>
      <c r="AF424" s="85"/>
      <c r="AG424" s="85"/>
      <c r="AH424" s="85"/>
      <c r="AI424" s="85"/>
      <c r="AJ424" s="85"/>
      <c r="AK424" s="85"/>
      <c r="AL424" s="85"/>
      <c r="AM424" s="85"/>
      <c r="AN424" s="85"/>
      <c r="AO424" s="85"/>
      <c r="AP424" s="85"/>
      <c r="AQ424" s="85"/>
      <c r="AR424" s="85"/>
      <c r="AS424" s="85"/>
      <c r="AT424" s="85"/>
      <c r="AU424" s="85"/>
      <c r="AV424" s="85"/>
      <c r="AW424" s="85"/>
      <c r="AX424" s="85"/>
      <c r="AY424" s="85"/>
      <c r="AZ424" s="85"/>
      <c r="BA424" s="85"/>
    </row>
    <row r="425" spans="1:53" ht="15.75">
      <c r="A425" s="149"/>
      <c r="B425" s="305" t="s">
        <v>469</v>
      </c>
      <c r="C425" s="306"/>
      <c r="D425" s="271">
        <v>60</v>
      </c>
      <c r="E425" s="272"/>
      <c r="F425" s="278">
        <f t="shared" si="47"/>
        <v>17956.835076899752</v>
      </c>
      <c r="G425" s="279"/>
      <c r="H425" s="275">
        <f t="shared" si="43"/>
        <v>179.56835076899753</v>
      </c>
      <c r="I425" s="276"/>
      <c r="J425" s="277"/>
      <c r="K425" s="75">
        <f t="shared" si="48"/>
        <v>-179.56835076899753</v>
      </c>
      <c r="L425" s="81" t="str">
        <f t="shared" si="44"/>
        <v>LOSS</v>
      </c>
      <c r="M425" s="242">
        <f>IF(COUNTA($F$6:$F$10)=5,(F426-F24)/F24,"")</f>
        <v>0.77772667261307538</v>
      </c>
      <c r="N425" s="238">
        <f t="shared" si="45"/>
        <v>3</v>
      </c>
      <c r="O425" s="14" t="str">
        <f t="shared" si="46"/>
        <v>last</v>
      </c>
      <c r="P425" s="14"/>
      <c r="Q425" s="14"/>
      <c r="R425" s="14"/>
      <c r="S425" s="14"/>
      <c r="T425" s="14"/>
      <c r="U425" s="14"/>
      <c r="V425" s="14"/>
      <c r="W425" s="39" t="str">
        <f>IF(AND(L425="WIN",L426&lt;&gt;"WIN"),SUMIF(L$24:L425,"WIN",K$24:K425)-SUM(W$23:W424),"")</f>
        <v/>
      </c>
      <c r="X425" s="41">
        <f>IF(AND(L425="LOSS",L426&lt;&gt;"LOSS"),SUMIF(L$24:L425,"LOSS",K$24:K425)-SUM(X$23:X424),"")</f>
        <v>-544.16483891337703</v>
      </c>
      <c r="Y425" s="8"/>
      <c r="Z425" s="85"/>
      <c r="AA425" s="85"/>
      <c r="AB425" s="85"/>
      <c r="AC425" s="85"/>
      <c r="AD425" s="85"/>
      <c r="AE425" s="85"/>
      <c r="AF425" s="85"/>
      <c r="AG425" s="85"/>
      <c r="AH425" s="85"/>
      <c r="AI425" s="85"/>
      <c r="AJ425" s="85"/>
      <c r="AK425" s="85"/>
      <c r="AL425" s="85"/>
      <c r="AM425" s="85"/>
      <c r="AN425" s="85"/>
      <c r="AO425" s="85"/>
      <c r="AP425" s="85"/>
      <c r="AQ425" s="85"/>
      <c r="AR425" s="85"/>
      <c r="AS425" s="85"/>
      <c r="AT425" s="85"/>
      <c r="AU425" s="85"/>
      <c r="AV425" s="85"/>
      <c r="AW425" s="85"/>
      <c r="AX425" s="85"/>
      <c r="AY425" s="85"/>
      <c r="AZ425" s="85"/>
      <c r="BA425" s="85"/>
    </row>
    <row r="426" spans="1:53" ht="15.75">
      <c r="A426" s="149"/>
      <c r="B426" s="305" t="s">
        <v>470</v>
      </c>
      <c r="C426" s="306"/>
      <c r="D426" s="271">
        <v>50</v>
      </c>
      <c r="E426" s="272"/>
      <c r="F426" s="278">
        <f t="shared" si="47"/>
        <v>17777.266726130754</v>
      </c>
      <c r="G426" s="279"/>
      <c r="H426" s="275">
        <f t="shared" si="43"/>
        <v>177.77266726130753</v>
      </c>
      <c r="I426" s="276"/>
      <c r="J426" s="277"/>
      <c r="K426" s="75">
        <f t="shared" si="48"/>
        <v>213.32720071356903</v>
      </c>
      <c r="L426" s="81" t="str">
        <f t="shared" si="44"/>
        <v>WIN</v>
      </c>
      <c r="M426" s="242">
        <f>IF(COUNTA($F$6:$F$10)=5,(F427-F24)/F24,"")</f>
        <v>0.79905939268443216</v>
      </c>
      <c r="N426" s="238">
        <f t="shared" si="45"/>
        <v>1</v>
      </c>
      <c r="O426" s="14" t="str">
        <f t="shared" si="46"/>
        <v>new</v>
      </c>
      <c r="P426" s="14"/>
      <c r="Q426" s="14"/>
      <c r="R426" s="14"/>
      <c r="S426" s="14"/>
      <c r="T426" s="14"/>
      <c r="U426" s="14"/>
      <c r="V426" s="14"/>
      <c r="W426" s="39" t="str">
        <f>IF(AND(L426="WIN",L427&lt;&gt;"WIN"),SUMIF(L$24:L426,"WIN",K$24:K426)-SUM(W$23:W425),"")</f>
        <v/>
      </c>
      <c r="X426" s="41" t="str">
        <f>IF(AND(L426="LOSS",L427&lt;&gt;"LOSS"),SUMIF(L$24:L426,"LOSS",K$24:K426)-SUM(X$23:X425),"")</f>
        <v/>
      </c>
      <c r="Y426" s="8"/>
      <c r="Z426" s="85"/>
      <c r="AA426" s="85"/>
      <c r="AB426" s="85"/>
      <c r="AC426" s="85"/>
      <c r="AD426" s="85"/>
      <c r="AE426" s="85"/>
      <c r="AF426" s="85"/>
      <c r="AG426" s="85"/>
      <c r="AH426" s="85"/>
      <c r="AI426" s="85"/>
      <c r="AJ426" s="85"/>
      <c r="AK426" s="85"/>
      <c r="AL426" s="85"/>
      <c r="AM426" s="85"/>
      <c r="AN426" s="85"/>
      <c r="AO426" s="85"/>
      <c r="AP426" s="85"/>
      <c r="AQ426" s="85"/>
      <c r="AR426" s="85"/>
      <c r="AS426" s="85"/>
      <c r="AT426" s="85"/>
      <c r="AU426" s="85"/>
      <c r="AV426" s="85"/>
      <c r="AW426" s="85"/>
      <c r="AX426" s="85"/>
      <c r="AY426" s="85"/>
      <c r="AZ426" s="85"/>
      <c r="BA426" s="85"/>
    </row>
    <row r="427" spans="1:53" ht="15.75">
      <c r="A427" s="149"/>
      <c r="B427" s="305" t="s">
        <v>471</v>
      </c>
      <c r="C427" s="306"/>
      <c r="D427" s="271">
        <v>8</v>
      </c>
      <c r="E427" s="272"/>
      <c r="F427" s="278">
        <f t="shared" si="47"/>
        <v>17990.593926844322</v>
      </c>
      <c r="G427" s="279"/>
      <c r="H427" s="275">
        <f t="shared" si="43"/>
        <v>179.90593926844323</v>
      </c>
      <c r="I427" s="276"/>
      <c r="J427" s="277"/>
      <c r="K427" s="75">
        <f t="shared" si="48"/>
        <v>215.88712712213189</v>
      </c>
      <c r="L427" s="81" t="str">
        <f t="shared" si="44"/>
        <v>WIN</v>
      </c>
      <c r="M427" s="242">
        <f>IF(COUNTA($F$6:$F$10)=5,(F428-F24)/F24,"")</f>
        <v>0.82064810539664546</v>
      </c>
      <c r="N427" s="238">
        <f t="shared" si="45"/>
        <v>2</v>
      </c>
      <c r="O427" s="14" t="str">
        <f t="shared" si="46"/>
        <v>middle</v>
      </c>
      <c r="P427" s="14"/>
      <c r="Q427" s="14"/>
      <c r="R427" s="14"/>
      <c r="S427" s="14"/>
      <c r="T427" s="14"/>
      <c r="U427" s="14"/>
      <c r="V427" s="14"/>
      <c r="W427" s="39" t="str">
        <f>IF(AND(L427="WIN",L428&lt;&gt;"WIN"),SUMIF(L$24:L427,"WIN",K$24:K427)-SUM(W$23:W426),"")</f>
        <v/>
      </c>
      <c r="X427" s="41" t="str">
        <f>IF(AND(L427="LOSS",L428&lt;&gt;"LOSS"),SUMIF(L$24:L427,"LOSS",K$24:K427)-SUM(X$23:X426),"")</f>
        <v/>
      </c>
      <c r="Y427" s="8"/>
      <c r="Z427" s="85"/>
      <c r="AA427" s="85"/>
      <c r="AB427" s="85"/>
      <c r="AC427" s="85"/>
      <c r="AD427" s="85"/>
      <c r="AE427" s="85"/>
      <c r="AF427" s="85"/>
      <c r="AG427" s="85"/>
      <c r="AH427" s="85"/>
      <c r="AI427" s="85"/>
      <c r="AJ427" s="85"/>
      <c r="AK427" s="85"/>
      <c r="AL427" s="85"/>
      <c r="AM427" s="85"/>
      <c r="AN427" s="85"/>
      <c r="AO427" s="85"/>
      <c r="AP427" s="85"/>
      <c r="AQ427" s="85"/>
      <c r="AR427" s="85"/>
      <c r="AS427" s="85"/>
      <c r="AT427" s="85"/>
      <c r="AU427" s="85"/>
      <c r="AV427" s="85"/>
      <c r="AW427" s="85"/>
      <c r="AX427" s="85"/>
      <c r="AY427" s="85"/>
      <c r="AZ427" s="85"/>
      <c r="BA427" s="85"/>
    </row>
    <row r="428" spans="1:53" ht="15.75">
      <c r="A428" s="149"/>
      <c r="B428" s="305" t="s">
        <v>472</v>
      </c>
      <c r="C428" s="306"/>
      <c r="D428" s="271">
        <v>11</v>
      </c>
      <c r="E428" s="272"/>
      <c r="F428" s="278">
        <f t="shared" si="47"/>
        <v>18206.481053966454</v>
      </c>
      <c r="G428" s="279"/>
      <c r="H428" s="275">
        <f t="shared" si="43"/>
        <v>182.06481053966453</v>
      </c>
      <c r="I428" s="276"/>
      <c r="J428" s="277"/>
      <c r="K428" s="75">
        <f t="shared" si="48"/>
        <v>218.47777264759745</v>
      </c>
      <c r="L428" s="81" t="str">
        <f t="shared" si="44"/>
        <v>WIN</v>
      </c>
      <c r="M428" s="242">
        <f>IF(COUNTA($F$6:$F$10)=5,(F429-F24)/F24,"")</f>
        <v>0.84249588266140529</v>
      </c>
      <c r="N428" s="238">
        <f t="shared" si="45"/>
        <v>3</v>
      </c>
      <c r="O428" s="14" t="str">
        <f t="shared" si="46"/>
        <v>middle</v>
      </c>
      <c r="P428" s="14"/>
      <c r="Q428" s="14"/>
      <c r="R428" s="14"/>
      <c r="S428" s="14"/>
      <c r="T428" s="14"/>
      <c r="U428" s="14"/>
      <c r="V428" s="14"/>
      <c r="W428" s="39" t="str">
        <f>IF(AND(L428="WIN",L429&lt;&gt;"WIN"),SUMIF(L$24:L428,"WIN",K$24:K428)-SUM(W$23:W427),"")</f>
        <v/>
      </c>
      <c r="X428" s="41" t="str">
        <f>IF(AND(L428="LOSS",L429&lt;&gt;"LOSS"),SUMIF(L$24:L428,"LOSS",K$24:K428)-SUM(X$23:X427),"")</f>
        <v/>
      </c>
      <c r="Y428" s="8"/>
      <c r="Z428" s="85"/>
      <c r="AA428" s="85"/>
      <c r="AB428" s="85"/>
      <c r="AC428" s="85"/>
      <c r="AD428" s="85"/>
      <c r="AE428" s="85"/>
      <c r="AF428" s="85"/>
      <c r="AG428" s="85"/>
      <c r="AH428" s="85"/>
      <c r="AI428" s="85"/>
      <c r="AJ428" s="85"/>
      <c r="AK428" s="85"/>
      <c r="AL428" s="85"/>
      <c r="AM428" s="85"/>
      <c r="AN428" s="85"/>
      <c r="AO428" s="85"/>
      <c r="AP428" s="85"/>
      <c r="AQ428" s="85"/>
      <c r="AR428" s="85"/>
      <c r="AS428" s="85"/>
      <c r="AT428" s="85"/>
      <c r="AU428" s="85"/>
      <c r="AV428" s="85"/>
      <c r="AW428" s="85"/>
      <c r="AX428" s="85"/>
      <c r="AY428" s="85"/>
      <c r="AZ428" s="85"/>
      <c r="BA428" s="85"/>
    </row>
    <row r="429" spans="1:53" ht="15.75">
      <c r="A429" s="149"/>
      <c r="B429" s="305" t="s">
        <v>473</v>
      </c>
      <c r="C429" s="306"/>
      <c r="D429" s="271">
        <v>8</v>
      </c>
      <c r="E429" s="272"/>
      <c r="F429" s="278">
        <f t="shared" si="47"/>
        <v>18424.958826614053</v>
      </c>
      <c r="G429" s="279"/>
      <c r="H429" s="275">
        <f t="shared" si="43"/>
        <v>184.24958826614053</v>
      </c>
      <c r="I429" s="276"/>
      <c r="J429" s="277"/>
      <c r="K429" s="75">
        <f t="shared" si="48"/>
        <v>221.09950591936862</v>
      </c>
      <c r="L429" s="81" t="str">
        <f t="shared" si="44"/>
        <v>WIN</v>
      </c>
      <c r="M429" s="242">
        <f>IF(COUNTA($F$6:$F$10)=5,(F430-F24)/F24,"")</f>
        <v>0.86460583325334228</v>
      </c>
      <c r="N429" s="238">
        <f t="shared" si="45"/>
        <v>4</v>
      </c>
      <c r="O429" s="14" t="str">
        <f t="shared" si="46"/>
        <v>middle</v>
      </c>
      <c r="P429" s="14"/>
      <c r="Q429" s="14"/>
      <c r="R429" s="14"/>
      <c r="S429" s="14"/>
      <c r="T429" s="14"/>
      <c r="U429" s="14"/>
      <c r="V429" s="14"/>
      <c r="W429" s="39" t="str">
        <f>IF(AND(L429="WIN",L430&lt;&gt;"WIN"),SUMIF(L$24:L429,"WIN",K$24:K429)-SUM(W$23:W428),"")</f>
        <v/>
      </c>
      <c r="X429" s="41" t="str">
        <f>IF(AND(L429="LOSS",L430&lt;&gt;"LOSS"),SUMIF(L$24:L429,"LOSS",K$24:K429)-SUM(X$23:X428),"")</f>
        <v/>
      </c>
      <c r="Y429" s="8"/>
      <c r="Z429" s="85"/>
      <c r="AA429" s="85"/>
      <c r="AB429" s="85"/>
      <c r="AC429" s="85"/>
      <c r="AD429" s="85"/>
      <c r="AE429" s="85"/>
      <c r="AF429" s="85"/>
      <c r="AG429" s="85"/>
      <c r="AH429" s="85"/>
      <c r="AI429" s="85"/>
      <c r="AJ429" s="85"/>
      <c r="AK429" s="85"/>
      <c r="AL429" s="85"/>
      <c r="AM429" s="85"/>
      <c r="AN429" s="85"/>
      <c r="AO429" s="85"/>
      <c r="AP429" s="85"/>
      <c r="AQ429" s="85"/>
      <c r="AR429" s="85"/>
      <c r="AS429" s="85"/>
      <c r="AT429" s="85"/>
      <c r="AU429" s="85"/>
      <c r="AV429" s="85"/>
      <c r="AW429" s="85"/>
      <c r="AX429" s="85"/>
      <c r="AY429" s="85"/>
      <c r="AZ429" s="85"/>
      <c r="BA429" s="85"/>
    </row>
    <row r="430" spans="1:53" ht="15.75">
      <c r="A430" s="149"/>
      <c r="B430" s="305" t="s">
        <v>474</v>
      </c>
      <c r="C430" s="306"/>
      <c r="D430" s="271">
        <v>52</v>
      </c>
      <c r="E430" s="272"/>
      <c r="F430" s="278">
        <f t="shared" si="47"/>
        <v>18646.058332533423</v>
      </c>
      <c r="G430" s="279"/>
      <c r="H430" s="275">
        <f t="shared" si="43"/>
        <v>186.46058332533423</v>
      </c>
      <c r="I430" s="276"/>
      <c r="J430" s="277"/>
      <c r="K430" s="75">
        <f t="shared" si="48"/>
        <v>223.75269999040106</v>
      </c>
      <c r="L430" s="81" t="str">
        <f t="shared" si="44"/>
        <v>WIN</v>
      </c>
      <c r="M430" s="242">
        <f>IF(COUNTA($F$6:$F$10)=5,(F431-F24)/F24,"")</f>
        <v>0.88698110325238233</v>
      </c>
      <c r="N430" s="238">
        <f t="shared" si="45"/>
        <v>5</v>
      </c>
      <c r="O430" s="14" t="str">
        <f t="shared" si="46"/>
        <v>middle</v>
      </c>
      <c r="P430" s="14"/>
      <c r="Q430" s="14"/>
      <c r="R430" s="14"/>
      <c r="S430" s="14"/>
      <c r="T430" s="14"/>
      <c r="U430" s="14"/>
      <c r="V430" s="14"/>
      <c r="W430" s="39" t="str">
        <f>IF(AND(L430="WIN",L431&lt;&gt;"WIN"),SUMIF(L$24:L430,"WIN",K$24:K430)-SUM(W$23:W429),"")</f>
        <v/>
      </c>
      <c r="X430" s="41" t="str">
        <f>IF(AND(L430="LOSS",L431&lt;&gt;"LOSS"),SUMIF(L$24:L430,"LOSS",K$24:K430)-SUM(X$23:X429),"")</f>
        <v/>
      </c>
      <c r="Y430" s="8"/>
      <c r="Z430" s="85"/>
      <c r="AA430" s="85"/>
      <c r="AB430" s="85"/>
      <c r="AC430" s="85"/>
      <c r="AD430" s="85"/>
      <c r="AE430" s="85"/>
      <c r="AF430" s="85"/>
      <c r="AG430" s="85"/>
      <c r="AH430" s="85"/>
      <c r="AI430" s="85"/>
      <c r="AJ430" s="85"/>
      <c r="AK430" s="85"/>
      <c r="AL430" s="85"/>
      <c r="AM430" s="85"/>
      <c r="AN430" s="85"/>
      <c r="AO430" s="85"/>
      <c r="AP430" s="85"/>
      <c r="AQ430" s="85"/>
      <c r="AR430" s="85"/>
      <c r="AS430" s="85"/>
      <c r="AT430" s="85"/>
      <c r="AU430" s="85"/>
      <c r="AV430" s="85"/>
      <c r="AW430" s="85"/>
      <c r="AX430" s="85"/>
      <c r="AY430" s="85"/>
      <c r="AZ430" s="85"/>
      <c r="BA430" s="85"/>
    </row>
    <row r="431" spans="1:53" ht="15.75">
      <c r="A431" s="149"/>
      <c r="B431" s="305" t="s">
        <v>475</v>
      </c>
      <c r="C431" s="306"/>
      <c r="D431" s="271">
        <v>26</v>
      </c>
      <c r="E431" s="272"/>
      <c r="F431" s="278">
        <f t="shared" si="47"/>
        <v>18869.811032523823</v>
      </c>
      <c r="G431" s="279"/>
      <c r="H431" s="275">
        <f t="shared" si="43"/>
        <v>188.69811032523825</v>
      </c>
      <c r="I431" s="276"/>
      <c r="J431" s="277"/>
      <c r="K431" s="75">
        <f t="shared" si="48"/>
        <v>226.4377323902859</v>
      </c>
      <c r="L431" s="81" t="str">
        <f t="shared" si="44"/>
        <v>WIN</v>
      </c>
      <c r="M431" s="242">
        <f>IF(COUNTA($F$6:$F$10)=5,(F432-F24)/F24,"")</f>
        <v>0.90962487649141077</v>
      </c>
      <c r="N431" s="238">
        <f t="shared" si="45"/>
        <v>6</v>
      </c>
      <c r="O431" s="14" t="str">
        <f t="shared" si="46"/>
        <v>last</v>
      </c>
      <c r="P431" s="14"/>
      <c r="Q431" s="14"/>
      <c r="R431" s="14"/>
      <c r="S431" s="14"/>
      <c r="T431" s="14"/>
      <c r="U431" s="14"/>
      <c r="V431" s="14"/>
      <c r="W431" s="39">
        <f>IF(AND(L431="WIN",L432&lt;&gt;"WIN"),SUMIF(L$24:L431,"WIN",K$24:K431)-SUM(W$23:W430),"")</f>
        <v>1318.9820387833461</v>
      </c>
      <c r="X431" s="41" t="str">
        <f>IF(AND(L431="LOSS",L432&lt;&gt;"LOSS"),SUMIF(L$24:L431,"LOSS",K$24:K431)-SUM(X$23:X430),"")</f>
        <v/>
      </c>
      <c r="Y431" s="8"/>
      <c r="Z431" s="85"/>
      <c r="AA431" s="85"/>
      <c r="AB431" s="85"/>
      <c r="AC431" s="85"/>
      <c r="AD431" s="85"/>
      <c r="AE431" s="85"/>
      <c r="AF431" s="85"/>
      <c r="AG431" s="85"/>
      <c r="AH431" s="85"/>
      <c r="AI431" s="85"/>
      <c r="AJ431" s="85"/>
      <c r="AK431" s="85"/>
      <c r="AL431" s="85"/>
      <c r="AM431" s="85"/>
      <c r="AN431" s="85"/>
      <c r="AO431" s="85"/>
      <c r="AP431" s="85"/>
      <c r="AQ431" s="85"/>
      <c r="AR431" s="85"/>
      <c r="AS431" s="85"/>
      <c r="AT431" s="85"/>
      <c r="AU431" s="85"/>
      <c r="AV431" s="85"/>
      <c r="AW431" s="85"/>
      <c r="AX431" s="85"/>
      <c r="AY431" s="85"/>
      <c r="AZ431" s="85"/>
      <c r="BA431" s="85"/>
    </row>
    <row r="432" spans="1:53" ht="15.75">
      <c r="A432" s="149"/>
      <c r="B432" s="305" t="s">
        <v>476</v>
      </c>
      <c r="C432" s="306"/>
      <c r="D432" s="271">
        <v>84</v>
      </c>
      <c r="E432" s="272"/>
      <c r="F432" s="278">
        <f t="shared" si="47"/>
        <v>19096.248764914108</v>
      </c>
      <c r="G432" s="279"/>
      <c r="H432" s="275">
        <f t="shared" si="43"/>
        <v>190.96248764914108</v>
      </c>
      <c r="I432" s="276"/>
      <c r="J432" s="277"/>
      <c r="K432" s="75">
        <f t="shared" si="48"/>
        <v>-190.96248764914108</v>
      </c>
      <c r="L432" s="81" t="str">
        <f t="shared" si="44"/>
        <v>LOSS</v>
      </c>
      <c r="M432" s="242">
        <f>IF(COUNTA($F$6:$F$10)=5,(F433-F24)/F24,"")</f>
        <v>0.89052862772649677</v>
      </c>
      <c r="N432" s="238">
        <f t="shared" si="45"/>
        <v>1</v>
      </c>
      <c r="O432" s="14" t="str">
        <f t="shared" si="46"/>
        <v>last</v>
      </c>
      <c r="P432" s="14"/>
      <c r="Q432" s="14"/>
      <c r="R432" s="14"/>
      <c r="S432" s="14"/>
      <c r="T432" s="14"/>
      <c r="U432" s="14"/>
      <c r="V432" s="14"/>
      <c r="W432" s="39" t="str">
        <f>IF(AND(L432="WIN",L433&lt;&gt;"WIN"),SUMIF(L$24:L432,"WIN",K$24:K432)-SUM(W$23:W431),"")</f>
        <v/>
      </c>
      <c r="X432" s="41">
        <f>IF(AND(L432="LOSS",L433&lt;&gt;"LOSS"),SUMIF(L$24:L432,"LOSS",K$24:K432)-SUM(X$23:X431),"")</f>
        <v>-190.9624876491398</v>
      </c>
      <c r="Y432" s="8"/>
      <c r="Z432" s="85"/>
      <c r="AA432" s="85"/>
      <c r="AB432" s="85"/>
      <c r="AC432" s="85"/>
      <c r="AD432" s="85"/>
      <c r="AE432" s="85"/>
      <c r="AF432" s="85"/>
      <c r="AG432" s="85"/>
      <c r="AH432" s="85"/>
      <c r="AI432" s="85"/>
      <c r="AJ432" s="85"/>
      <c r="AK432" s="85"/>
      <c r="AL432" s="85"/>
      <c r="AM432" s="85"/>
      <c r="AN432" s="85"/>
      <c r="AO432" s="85"/>
      <c r="AP432" s="85"/>
      <c r="AQ432" s="85"/>
      <c r="AR432" s="85"/>
      <c r="AS432" s="85"/>
      <c r="AT432" s="85"/>
      <c r="AU432" s="85"/>
      <c r="AV432" s="85"/>
      <c r="AW432" s="85"/>
      <c r="AX432" s="85"/>
      <c r="AY432" s="85"/>
      <c r="AZ432" s="85"/>
      <c r="BA432" s="85"/>
    </row>
    <row r="433" spans="1:53" ht="15.75">
      <c r="A433" s="149"/>
      <c r="B433" s="305" t="s">
        <v>477</v>
      </c>
      <c r="C433" s="306"/>
      <c r="D433" s="271">
        <v>48</v>
      </c>
      <c r="E433" s="272"/>
      <c r="F433" s="278">
        <f t="shared" si="47"/>
        <v>18905.286277264968</v>
      </c>
      <c r="G433" s="279"/>
      <c r="H433" s="275">
        <f t="shared" si="43"/>
        <v>189.05286277264969</v>
      </c>
      <c r="I433" s="276"/>
      <c r="J433" s="277"/>
      <c r="K433" s="75">
        <f t="shared" si="48"/>
        <v>226.86343532717962</v>
      </c>
      <c r="L433" s="81" t="str">
        <f t="shared" si="44"/>
        <v>WIN</v>
      </c>
      <c r="M433" s="242">
        <f>IF(COUNTA($F$6:$F$10)=5,(F434-F24)/F24,"")</f>
        <v>0.91321497125921491</v>
      </c>
      <c r="N433" s="238">
        <f t="shared" si="45"/>
        <v>1</v>
      </c>
      <c r="O433" s="14" t="str">
        <f t="shared" si="46"/>
        <v>last</v>
      </c>
      <c r="P433" s="14"/>
      <c r="Q433" s="14"/>
      <c r="R433" s="14"/>
      <c r="S433" s="14"/>
      <c r="T433" s="14"/>
      <c r="U433" s="14"/>
      <c r="V433" s="14"/>
      <c r="W433" s="39">
        <f>IF(AND(L433="WIN",L434&lt;&gt;"WIN"),SUMIF(L$24:L433,"WIN",K$24:K433)-SUM(W$23:W432),"")</f>
        <v>226.86343532717729</v>
      </c>
      <c r="X433" s="41" t="str">
        <f>IF(AND(L433="LOSS",L434&lt;&gt;"LOSS"),SUMIF(L$24:L433,"LOSS",K$24:K433)-SUM(X$23:X432),"")</f>
        <v/>
      </c>
      <c r="Y433" s="8"/>
      <c r="Z433" s="85"/>
      <c r="AA433" s="85"/>
      <c r="AB433" s="85"/>
      <c r="AC433" s="85"/>
      <c r="AD433" s="85"/>
      <c r="AE433" s="85"/>
      <c r="AF433" s="85"/>
      <c r="AG433" s="85"/>
      <c r="AH433" s="85"/>
      <c r="AI433" s="85"/>
      <c r="AJ433" s="85"/>
      <c r="AK433" s="85"/>
      <c r="AL433" s="85"/>
      <c r="AM433" s="85"/>
      <c r="AN433" s="85"/>
      <c r="AO433" s="85"/>
      <c r="AP433" s="85"/>
      <c r="AQ433" s="85"/>
      <c r="AR433" s="85"/>
      <c r="AS433" s="85"/>
      <c r="AT433" s="85"/>
      <c r="AU433" s="85"/>
      <c r="AV433" s="85"/>
      <c r="AW433" s="85"/>
      <c r="AX433" s="85"/>
      <c r="AY433" s="85"/>
      <c r="AZ433" s="85"/>
      <c r="BA433" s="85"/>
    </row>
    <row r="434" spans="1:53" ht="15.75">
      <c r="A434" s="149"/>
      <c r="B434" s="305" t="s">
        <v>478</v>
      </c>
      <c r="C434" s="306"/>
      <c r="D434" s="271">
        <v>74</v>
      </c>
      <c r="E434" s="272"/>
      <c r="F434" s="278">
        <f t="shared" si="47"/>
        <v>19132.149712592149</v>
      </c>
      <c r="G434" s="279"/>
      <c r="H434" s="275">
        <f t="shared" si="43"/>
        <v>191.3214971259215</v>
      </c>
      <c r="I434" s="276"/>
      <c r="J434" s="277"/>
      <c r="K434" s="75">
        <f t="shared" si="48"/>
        <v>-191.3214971259215</v>
      </c>
      <c r="L434" s="81" t="str">
        <f t="shared" si="44"/>
        <v>LOSS</v>
      </c>
      <c r="M434" s="242">
        <f>IF(COUNTA($F$6:$F$10)=5,(F435-F24)/F24,"")</f>
        <v>0.89408282154662266</v>
      </c>
      <c r="N434" s="238">
        <f t="shared" si="45"/>
        <v>1</v>
      </c>
      <c r="O434" s="14" t="str">
        <f t="shared" si="46"/>
        <v>last</v>
      </c>
      <c r="P434" s="14"/>
      <c r="Q434" s="14"/>
      <c r="R434" s="14"/>
      <c r="S434" s="14"/>
      <c r="T434" s="14"/>
      <c r="U434" s="14"/>
      <c r="V434" s="14"/>
      <c r="W434" s="39" t="str">
        <f>IF(AND(L434="WIN",L435&lt;&gt;"WIN"),SUMIF(L$24:L434,"WIN",K$24:K434)-SUM(W$23:W433),"")</f>
        <v/>
      </c>
      <c r="X434" s="41">
        <f>IF(AND(L434="LOSS",L435&lt;&gt;"LOSS"),SUMIF(L$24:L434,"LOSS",K$24:K434)-SUM(X$23:X433),"")</f>
        <v>-191.32149712592218</v>
      </c>
      <c r="Y434" s="8"/>
      <c r="Z434" s="85"/>
      <c r="AA434" s="85"/>
      <c r="AB434" s="85"/>
      <c r="AC434" s="85"/>
      <c r="AD434" s="85"/>
      <c r="AE434" s="85"/>
      <c r="AF434" s="85"/>
      <c r="AG434" s="85"/>
      <c r="AH434" s="85"/>
      <c r="AI434" s="85"/>
      <c r="AJ434" s="85"/>
      <c r="AK434" s="85"/>
      <c r="AL434" s="85"/>
      <c r="AM434" s="85"/>
      <c r="AN434" s="85"/>
      <c r="AO434" s="85"/>
      <c r="AP434" s="85"/>
      <c r="AQ434" s="85"/>
      <c r="AR434" s="85"/>
      <c r="AS434" s="85"/>
      <c r="AT434" s="85"/>
      <c r="AU434" s="85"/>
      <c r="AV434" s="85"/>
      <c r="AW434" s="85"/>
      <c r="AX434" s="85"/>
      <c r="AY434" s="85"/>
      <c r="AZ434" s="85"/>
      <c r="BA434" s="85"/>
    </row>
    <row r="435" spans="1:53" ht="15.75">
      <c r="A435" s="149"/>
      <c r="B435" s="305" t="s">
        <v>479</v>
      </c>
      <c r="C435" s="306"/>
      <c r="D435" s="271">
        <v>39</v>
      </c>
      <c r="E435" s="272"/>
      <c r="F435" s="278">
        <f t="shared" si="47"/>
        <v>18940.828215466227</v>
      </c>
      <c r="G435" s="279"/>
      <c r="H435" s="275">
        <f t="shared" si="43"/>
        <v>189.40828215466226</v>
      </c>
      <c r="I435" s="276"/>
      <c r="J435" s="277"/>
      <c r="K435" s="75">
        <f t="shared" si="48"/>
        <v>227.28993858559471</v>
      </c>
      <c r="L435" s="81" t="str">
        <f t="shared" si="44"/>
        <v>WIN</v>
      </c>
      <c r="M435" s="242">
        <f>IF(COUNTA($F$6:$F$10)=5,(F436-F24)/F24,"")</f>
        <v>0.91681181540518231</v>
      </c>
      <c r="N435" s="238">
        <f t="shared" si="45"/>
        <v>1</v>
      </c>
      <c r="O435" s="14" t="str">
        <f t="shared" si="46"/>
        <v>last</v>
      </c>
      <c r="P435" s="14"/>
      <c r="Q435" s="14"/>
      <c r="R435" s="14"/>
      <c r="S435" s="14"/>
      <c r="T435" s="14"/>
      <c r="U435" s="14"/>
      <c r="V435" s="14"/>
      <c r="W435" s="39">
        <f>IF(AND(L435="WIN",L436&lt;&gt;"WIN"),SUMIF(L$24:L435,"WIN",K$24:K435)-SUM(W$23:W434),"")</f>
        <v>227.28993858559261</v>
      </c>
      <c r="X435" s="41" t="str">
        <f>IF(AND(L435="LOSS",L436&lt;&gt;"LOSS"),SUMIF(L$24:L435,"LOSS",K$24:K435)-SUM(X$23:X434),"")</f>
        <v/>
      </c>
      <c r="Y435" s="8"/>
      <c r="Z435" s="85"/>
      <c r="AA435" s="85"/>
      <c r="AB435" s="85"/>
      <c r="AC435" s="85"/>
      <c r="AD435" s="85"/>
      <c r="AE435" s="85"/>
      <c r="AF435" s="85"/>
      <c r="AG435" s="85"/>
      <c r="AH435" s="85"/>
      <c r="AI435" s="85"/>
      <c r="AJ435" s="85"/>
      <c r="AK435" s="85"/>
      <c r="AL435" s="85"/>
      <c r="AM435" s="85"/>
      <c r="AN435" s="85"/>
      <c r="AO435" s="85"/>
      <c r="AP435" s="85"/>
      <c r="AQ435" s="85"/>
      <c r="AR435" s="85"/>
      <c r="AS435" s="85"/>
      <c r="AT435" s="85"/>
      <c r="AU435" s="85"/>
      <c r="AV435" s="85"/>
      <c r="AW435" s="85"/>
      <c r="AX435" s="85"/>
      <c r="AY435" s="85"/>
      <c r="AZ435" s="85"/>
      <c r="BA435" s="85"/>
    </row>
    <row r="436" spans="1:53" ht="15.75">
      <c r="A436" s="149"/>
      <c r="B436" s="305" t="s">
        <v>480</v>
      </c>
      <c r="C436" s="306"/>
      <c r="D436" s="271">
        <v>92</v>
      </c>
      <c r="E436" s="272"/>
      <c r="F436" s="278">
        <f t="shared" si="47"/>
        <v>19168.118154051823</v>
      </c>
      <c r="G436" s="279"/>
      <c r="H436" s="275">
        <f t="shared" si="43"/>
        <v>191.68118154051822</v>
      </c>
      <c r="I436" s="276"/>
      <c r="J436" s="277"/>
      <c r="K436" s="75">
        <f t="shared" si="48"/>
        <v>-191.68118154051822</v>
      </c>
      <c r="L436" s="81" t="str">
        <f t="shared" si="44"/>
        <v>LOSS</v>
      </c>
      <c r="M436" s="242">
        <f>IF(COUNTA($F$6:$F$10)=5,(F437-F24)/F24,"")</f>
        <v>0.89764369725113025</v>
      </c>
      <c r="N436" s="238">
        <f t="shared" si="45"/>
        <v>1</v>
      </c>
      <c r="O436" s="14" t="str">
        <f t="shared" si="46"/>
        <v>last</v>
      </c>
      <c r="P436" s="14"/>
      <c r="Q436" s="14"/>
      <c r="R436" s="14"/>
      <c r="S436" s="14"/>
      <c r="T436" s="14"/>
      <c r="U436" s="14"/>
      <c r="V436" s="14"/>
      <c r="W436" s="39" t="str">
        <f>IF(AND(L436="WIN",L437&lt;&gt;"WIN"),SUMIF(L$24:L436,"WIN",K$24:K436)-SUM(W$23:W435),"")</f>
        <v/>
      </c>
      <c r="X436" s="41">
        <f>IF(AND(L436="LOSS",L437&lt;&gt;"LOSS"),SUMIF(L$24:L436,"LOSS",K$24:K436)-SUM(X$23:X435),"")</f>
        <v>-191.6811815405199</v>
      </c>
      <c r="Y436" s="8"/>
      <c r="Z436" s="85"/>
      <c r="AA436" s="85"/>
      <c r="AB436" s="85"/>
      <c r="AC436" s="85"/>
      <c r="AD436" s="85"/>
      <c r="AE436" s="85"/>
      <c r="AF436" s="85"/>
      <c r="AG436" s="85"/>
      <c r="AH436" s="85"/>
      <c r="AI436" s="85"/>
      <c r="AJ436" s="85"/>
      <c r="AK436" s="85"/>
      <c r="AL436" s="85"/>
      <c r="AM436" s="85"/>
      <c r="AN436" s="85"/>
      <c r="AO436" s="85"/>
      <c r="AP436" s="85"/>
      <c r="AQ436" s="85"/>
      <c r="AR436" s="85"/>
      <c r="AS436" s="85"/>
      <c r="AT436" s="85"/>
      <c r="AU436" s="85"/>
      <c r="AV436" s="85"/>
      <c r="AW436" s="85"/>
      <c r="AX436" s="85"/>
      <c r="AY436" s="85"/>
      <c r="AZ436" s="85"/>
      <c r="BA436" s="85"/>
    </row>
    <row r="437" spans="1:53" ht="15.75">
      <c r="A437" s="149"/>
      <c r="B437" s="305" t="s">
        <v>481</v>
      </c>
      <c r="C437" s="306"/>
      <c r="D437" s="271">
        <v>49</v>
      </c>
      <c r="E437" s="272"/>
      <c r="F437" s="278">
        <f t="shared" si="47"/>
        <v>18976.436972511303</v>
      </c>
      <c r="G437" s="279"/>
      <c r="H437" s="275">
        <f t="shared" si="43"/>
        <v>189.76436972511303</v>
      </c>
      <c r="I437" s="276"/>
      <c r="J437" s="277"/>
      <c r="K437" s="75">
        <f t="shared" si="48"/>
        <v>227.71724367013562</v>
      </c>
      <c r="L437" s="81" t="str">
        <f t="shared" si="44"/>
        <v>WIN</v>
      </c>
      <c r="M437" s="242">
        <f>IF(COUNTA($F$6:$F$10)=5,(F438-F24)/F24,"")</f>
        <v>0.92041542161814394</v>
      </c>
      <c r="N437" s="238">
        <f t="shared" si="45"/>
        <v>1</v>
      </c>
      <c r="O437" s="14" t="str">
        <f t="shared" si="46"/>
        <v>new</v>
      </c>
      <c r="P437" s="14"/>
      <c r="Q437" s="14"/>
      <c r="R437" s="14"/>
      <c r="S437" s="14"/>
      <c r="T437" s="14"/>
      <c r="U437" s="14"/>
      <c r="V437" s="14"/>
      <c r="W437" s="39" t="str">
        <f>IF(AND(L437="WIN",L438&lt;&gt;"WIN"),SUMIF(L$24:L437,"WIN",K$24:K437)-SUM(W$23:W436),"")</f>
        <v/>
      </c>
      <c r="X437" s="41" t="str">
        <f>IF(AND(L437="LOSS",L438&lt;&gt;"LOSS"),SUMIF(L$24:L437,"LOSS",K$24:K437)-SUM(X$23:X436),"")</f>
        <v/>
      </c>
      <c r="Y437" s="8"/>
      <c r="Z437" s="85"/>
      <c r="AA437" s="85"/>
      <c r="AB437" s="85"/>
      <c r="AC437" s="85"/>
      <c r="AD437" s="85"/>
      <c r="AE437" s="85"/>
      <c r="AF437" s="85"/>
      <c r="AG437" s="85"/>
      <c r="AH437" s="85"/>
      <c r="AI437" s="85"/>
      <c r="AJ437" s="85"/>
      <c r="AK437" s="85"/>
      <c r="AL437" s="85"/>
      <c r="AM437" s="85"/>
      <c r="AN437" s="85"/>
      <c r="AO437" s="85"/>
      <c r="AP437" s="85"/>
      <c r="AQ437" s="85"/>
      <c r="AR437" s="85"/>
      <c r="AS437" s="85"/>
      <c r="AT437" s="85"/>
      <c r="AU437" s="85"/>
      <c r="AV437" s="85"/>
      <c r="AW437" s="85"/>
      <c r="AX437" s="85"/>
      <c r="AY437" s="85"/>
      <c r="AZ437" s="85"/>
      <c r="BA437" s="85"/>
    </row>
    <row r="438" spans="1:53" ht="15.75">
      <c r="A438" s="149"/>
      <c r="B438" s="305" t="s">
        <v>482</v>
      </c>
      <c r="C438" s="306"/>
      <c r="D438" s="271">
        <v>26</v>
      </c>
      <c r="E438" s="272"/>
      <c r="F438" s="278">
        <f t="shared" si="47"/>
        <v>19204.15421618144</v>
      </c>
      <c r="G438" s="279"/>
      <c r="H438" s="275">
        <f t="shared" si="43"/>
        <v>192.04154216181439</v>
      </c>
      <c r="I438" s="276"/>
      <c r="J438" s="277"/>
      <c r="K438" s="75">
        <f t="shared" si="48"/>
        <v>230.44985059417726</v>
      </c>
      <c r="L438" s="81" t="str">
        <f t="shared" si="44"/>
        <v>WIN</v>
      </c>
      <c r="M438" s="242">
        <f>IF(COUNTA($F$6:$F$10)=5,(F439-F24)/F24,"")</f>
        <v>0.9434604066775617</v>
      </c>
      <c r="N438" s="238">
        <f t="shared" si="45"/>
        <v>2</v>
      </c>
      <c r="O438" s="14" t="str">
        <f t="shared" si="46"/>
        <v>middle</v>
      </c>
      <c r="P438" s="14"/>
      <c r="Q438" s="14"/>
      <c r="R438" s="14"/>
      <c r="S438" s="14"/>
      <c r="T438" s="14"/>
      <c r="U438" s="14"/>
      <c r="V438" s="14"/>
      <c r="W438" s="39" t="str">
        <f>IF(AND(L438="WIN",L439&lt;&gt;"WIN"),SUMIF(L$24:L438,"WIN",K$24:K438)-SUM(W$23:W437),"")</f>
        <v/>
      </c>
      <c r="X438" s="41" t="str">
        <f>IF(AND(L438="LOSS",L439&lt;&gt;"LOSS"),SUMIF(L$24:L438,"LOSS",K$24:K438)-SUM(X$23:X437),"")</f>
        <v/>
      </c>
      <c r="Y438" s="8"/>
      <c r="Z438" s="85"/>
      <c r="AA438" s="85"/>
      <c r="AB438" s="85"/>
      <c r="AC438" s="85"/>
      <c r="AD438" s="85"/>
      <c r="AE438" s="85"/>
      <c r="AF438" s="85"/>
      <c r="AG438" s="85"/>
      <c r="AH438" s="85"/>
      <c r="AI438" s="85"/>
      <c r="AJ438" s="85"/>
      <c r="AK438" s="85"/>
      <c r="AL438" s="85"/>
      <c r="AM438" s="85"/>
      <c r="AN438" s="85"/>
      <c r="AO438" s="85"/>
      <c r="AP438" s="85"/>
      <c r="AQ438" s="85"/>
      <c r="AR438" s="85"/>
      <c r="AS438" s="85"/>
      <c r="AT438" s="85"/>
      <c r="AU438" s="85"/>
      <c r="AV438" s="85"/>
      <c r="AW438" s="85"/>
      <c r="AX438" s="85"/>
      <c r="AY438" s="85"/>
      <c r="AZ438" s="85"/>
      <c r="BA438" s="85"/>
    </row>
    <row r="439" spans="1:53" ht="15.75">
      <c r="A439" s="149"/>
      <c r="B439" s="305" t="s">
        <v>483</v>
      </c>
      <c r="C439" s="306"/>
      <c r="D439" s="271">
        <v>20</v>
      </c>
      <c r="E439" s="272"/>
      <c r="F439" s="278">
        <f t="shared" si="47"/>
        <v>19434.604066775617</v>
      </c>
      <c r="G439" s="279"/>
      <c r="H439" s="275">
        <f t="shared" si="43"/>
        <v>194.34604066775617</v>
      </c>
      <c r="I439" s="276"/>
      <c r="J439" s="277"/>
      <c r="K439" s="75">
        <f t="shared" si="48"/>
        <v>233.21524880130738</v>
      </c>
      <c r="L439" s="81" t="str">
        <f t="shared" si="44"/>
        <v>WIN</v>
      </c>
      <c r="M439" s="242">
        <f>IF(COUNTA($F$6:$F$10)=5,(F440-F24)/F24,"")</f>
        <v>0.96678193155769254</v>
      </c>
      <c r="N439" s="238">
        <f t="shared" si="45"/>
        <v>3</v>
      </c>
      <c r="O439" s="14" t="str">
        <f t="shared" si="46"/>
        <v>last</v>
      </c>
      <c r="P439" s="14"/>
      <c r="Q439" s="14"/>
      <c r="R439" s="14"/>
      <c r="S439" s="14"/>
      <c r="T439" s="14"/>
      <c r="U439" s="14"/>
      <c r="V439" s="14"/>
      <c r="W439" s="39">
        <f>IF(AND(L439="WIN",L440&lt;&gt;"WIN"),SUMIF(L$24:L439,"WIN",K$24:K439)-SUM(W$23:W438),"")</f>
        <v>691.38234306561935</v>
      </c>
      <c r="X439" s="41" t="str">
        <f>IF(AND(L439="LOSS",L440&lt;&gt;"LOSS"),SUMIF(L$24:L439,"LOSS",K$24:K439)-SUM(X$23:X438),"")</f>
        <v/>
      </c>
      <c r="Y439" s="8"/>
      <c r="Z439" s="85"/>
      <c r="AA439" s="85"/>
      <c r="AB439" s="85"/>
      <c r="AC439" s="85"/>
      <c r="AD439" s="85"/>
      <c r="AE439" s="85"/>
      <c r="AF439" s="85"/>
      <c r="AG439" s="85"/>
      <c r="AH439" s="85"/>
      <c r="AI439" s="85"/>
      <c r="AJ439" s="85"/>
      <c r="AK439" s="85"/>
      <c r="AL439" s="85"/>
      <c r="AM439" s="85"/>
      <c r="AN439" s="85"/>
      <c r="AO439" s="85"/>
      <c r="AP439" s="85"/>
      <c r="AQ439" s="85"/>
      <c r="AR439" s="85"/>
      <c r="AS439" s="85"/>
      <c r="AT439" s="85"/>
      <c r="AU439" s="85"/>
      <c r="AV439" s="85"/>
      <c r="AW439" s="85"/>
      <c r="AX439" s="85"/>
      <c r="AY439" s="85"/>
      <c r="AZ439" s="85"/>
      <c r="BA439" s="85"/>
    </row>
    <row r="440" spans="1:53" ht="15.75">
      <c r="A440" s="149"/>
      <c r="B440" s="305" t="s">
        <v>484</v>
      </c>
      <c r="C440" s="306"/>
      <c r="D440" s="271">
        <v>91</v>
      </c>
      <c r="E440" s="272"/>
      <c r="F440" s="278">
        <f t="shared" si="47"/>
        <v>19667.819315576926</v>
      </c>
      <c r="G440" s="279"/>
      <c r="H440" s="275">
        <f t="shared" si="43"/>
        <v>196.67819315576926</v>
      </c>
      <c r="I440" s="276"/>
      <c r="J440" s="277"/>
      <c r="K440" s="75">
        <f t="shared" si="48"/>
        <v>-196.67819315576926</v>
      </c>
      <c r="L440" s="81" t="str">
        <f t="shared" si="44"/>
        <v>LOSS</v>
      </c>
      <c r="M440" s="242">
        <f>IF(COUNTA($F$6:$F$10)=5,(F441-F24)/F24,"")</f>
        <v>0.9471141122421155</v>
      </c>
      <c r="N440" s="238">
        <f t="shared" si="45"/>
        <v>1</v>
      </c>
      <c r="O440" s="14" t="str">
        <f t="shared" si="46"/>
        <v>last</v>
      </c>
      <c r="P440" s="14"/>
      <c r="Q440" s="14"/>
      <c r="R440" s="14"/>
      <c r="S440" s="14"/>
      <c r="T440" s="14"/>
      <c r="U440" s="14"/>
      <c r="V440" s="14"/>
      <c r="W440" s="39" t="str">
        <f>IF(AND(L440="WIN",L441&lt;&gt;"WIN"),SUMIF(L$24:L440,"WIN",K$24:K440)-SUM(W$23:W439),"")</f>
        <v/>
      </c>
      <c r="X440" s="41">
        <f>IF(AND(L440="LOSS",L441&lt;&gt;"LOSS"),SUMIF(L$24:L440,"LOSS",K$24:K440)-SUM(X$23:X439),"")</f>
        <v>-196.67819315577071</v>
      </c>
      <c r="Y440" s="8"/>
      <c r="Z440" s="85"/>
      <c r="AA440" s="85"/>
      <c r="AB440" s="85"/>
      <c r="AC440" s="85"/>
      <c r="AD440" s="85"/>
      <c r="AE440" s="85"/>
      <c r="AF440" s="85"/>
      <c r="AG440" s="85"/>
      <c r="AH440" s="85"/>
      <c r="AI440" s="85"/>
      <c r="AJ440" s="85"/>
      <c r="AK440" s="85"/>
      <c r="AL440" s="85"/>
      <c r="AM440" s="85"/>
      <c r="AN440" s="85"/>
      <c r="AO440" s="85"/>
      <c r="AP440" s="85"/>
      <c r="AQ440" s="85"/>
      <c r="AR440" s="85"/>
      <c r="AS440" s="85"/>
      <c r="AT440" s="85"/>
      <c r="AU440" s="85"/>
      <c r="AV440" s="85"/>
      <c r="AW440" s="85"/>
      <c r="AX440" s="85"/>
      <c r="AY440" s="85"/>
      <c r="AZ440" s="85"/>
      <c r="BA440" s="85"/>
    </row>
    <row r="441" spans="1:53" ht="15.75">
      <c r="A441" s="149"/>
      <c r="B441" s="305" t="s">
        <v>485</v>
      </c>
      <c r="C441" s="306"/>
      <c r="D441" s="271">
        <v>53</v>
      </c>
      <c r="E441" s="272"/>
      <c r="F441" s="278">
        <f t="shared" si="47"/>
        <v>19471.141122421155</v>
      </c>
      <c r="G441" s="279"/>
      <c r="H441" s="275">
        <f t="shared" si="43"/>
        <v>194.71141122421156</v>
      </c>
      <c r="I441" s="276"/>
      <c r="J441" s="277"/>
      <c r="K441" s="75">
        <f t="shared" si="48"/>
        <v>233.65369346905385</v>
      </c>
      <c r="L441" s="81" t="str">
        <f t="shared" si="44"/>
        <v>WIN</v>
      </c>
      <c r="M441" s="242">
        <f>IF(COUNTA($F$6:$F$10)=5,(F442-F24)/F24,"")</f>
        <v>0.97047948158902109</v>
      </c>
      <c r="N441" s="238">
        <f t="shared" si="45"/>
        <v>1</v>
      </c>
      <c r="O441" s="14" t="str">
        <f t="shared" si="46"/>
        <v>last</v>
      </c>
      <c r="P441" s="14"/>
      <c r="Q441" s="14"/>
      <c r="R441" s="14"/>
      <c r="S441" s="14"/>
      <c r="T441" s="14"/>
      <c r="U441" s="14"/>
      <c r="V441" s="14"/>
      <c r="W441" s="39">
        <f>IF(AND(L441="WIN",L442&lt;&gt;"WIN"),SUMIF(L$24:L441,"WIN",K$24:K441)-SUM(W$23:W440),"")</f>
        <v>233.65369346905209</v>
      </c>
      <c r="X441" s="41" t="str">
        <f>IF(AND(L441="LOSS",L442&lt;&gt;"LOSS"),SUMIF(L$24:L441,"LOSS",K$24:K441)-SUM(X$23:X440),"")</f>
        <v/>
      </c>
      <c r="Y441" s="8"/>
      <c r="Z441" s="85"/>
      <c r="AA441" s="85"/>
      <c r="AB441" s="85"/>
      <c r="AC441" s="85"/>
      <c r="AD441" s="85"/>
      <c r="AE441" s="85"/>
      <c r="AF441" s="85"/>
      <c r="AG441" s="85"/>
      <c r="AH441" s="85"/>
      <c r="AI441" s="85"/>
      <c r="AJ441" s="85"/>
      <c r="AK441" s="85"/>
      <c r="AL441" s="85"/>
      <c r="AM441" s="85"/>
      <c r="AN441" s="85"/>
      <c r="AO441" s="85"/>
      <c r="AP441" s="85"/>
      <c r="AQ441" s="85"/>
      <c r="AR441" s="85"/>
      <c r="AS441" s="85"/>
      <c r="AT441" s="85"/>
      <c r="AU441" s="85"/>
      <c r="AV441" s="85"/>
      <c r="AW441" s="85"/>
      <c r="AX441" s="85"/>
      <c r="AY441" s="85"/>
      <c r="AZ441" s="85"/>
      <c r="BA441" s="85"/>
    </row>
    <row r="442" spans="1:53" ht="15.75">
      <c r="A442" s="149"/>
      <c r="B442" s="305" t="s">
        <v>486</v>
      </c>
      <c r="C442" s="306"/>
      <c r="D442" s="271">
        <v>77</v>
      </c>
      <c r="E442" s="272"/>
      <c r="F442" s="278">
        <f t="shared" si="47"/>
        <v>19704.794815890211</v>
      </c>
      <c r="G442" s="279"/>
      <c r="H442" s="275">
        <f t="shared" si="43"/>
        <v>197.0479481589021</v>
      </c>
      <c r="I442" s="276"/>
      <c r="J442" s="277"/>
      <c r="K442" s="75">
        <f t="shared" si="48"/>
        <v>-197.0479481589021</v>
      </c>
      <c r="L442" s="81" t="str">
        <f t="shared" si="44"/>
        <v>LOSS</v>
      </c>
      <c r="M442" s="242">
        <f>IF(COUNTA($F$6:$F$10)=5,(F443-F24)/F24,"")</f>
        <v>0.95077468677313082</v>
      </c>
      <c r="N442" s="238">
        <f t="shared" si="45"/>
        <v>1</v>
      </c>
      <c r="O442" s="14" t="str">
        <f t="shared" si="46"/>
        <v>new</v>
      </c>
      <c r="P442" s="14"/>
      <c r="Q442" s="14"/>
      <c r="R442" s="14"/>
      <c r="S442" s="14"/>
      <c r="T442" s="14"/>
      <c r="U442" s="14"/>
      <c r="V442" s="14"/>
      <c r="W442" s="39" t="str">
        <f>IF(AND(L442="WIN",L443&lt;&gt;"WIN"),SUMIF(L$24:L442,"WIN",K$24:K442)-SUM(W$23:W441),"")</f>
        <v/>
      </c>
      <c r="X442" s="41" t="str">
        <f>IF(AND(L442="LOSS",L443&lt;&gt;"LOSS"),SUMIF(L$24:L442,"LOSS",K$24:K442)-SUM(X$23:X441),"")</f>
        <v/>
      </c>
      <c r="Y442" s="8"/>
      <c r="Z442" s="85"/>
      <c r="AA442" s="85"/>
      <c r="AB442" s="85"/>
      <c r="AC442" s="85"/>
      <c r="AD442" s="85"/>
      <c r="AE442" s="85"/>
      <c r="AF442" s="85"/>
      <c r="AG442" s="85"/>
      <c r="AH442" s="85"/>
      <c r="AI442" s="85"/>
      <c r="AJ442" s="85"/>
      <c r="AK442" s="85"/>
      <c r="AL442" s="85"/>
      <c r="AM442" s="85"/>
      <c r="AN442" s="85"/>
      <c r="AO442" s="85"/>
      <c r="AP442" s="85"/>
      <c r="AQ442" s="85"/>
      <c r="AR442" s="85"/>
      <c r="AS442" s="85"/>
      <c r="AT442" s="85"/>
      <c r="AU442" s="85"/>
      <c r="AV442" s="85"/>
      <c r="AW442" s="85"/>
      <c r="AX442" s="85"/>
      <c r="AY442" s="85"/>
      <c r="AZ442" s="85"/>
      <c r="BA442" s="85"/>
    </row>
    <row r="443" spans="1:53" ht="15.75">
      <c r="A443" s="149"/>
      <c r="B443" s="305" t="s">
        <v>487</v>
      </c>
      <c r="C443" s="306"/>
      <c r="D443" s="271">
        <v>61</v>
      </c>
      <c r="E443" s="272"/>
      <c r="F443" s="278">
        <f t="shared" si="47"/>
        <v>19507.746867731308</v>
      </c>
      <c r="G443" s="279"/>
      <c r="H443" s="275">
        <f t="shared" si="43"/>
        <v>195.07746867731308</v>
      </c>
      <c r="I443" s="276"/>
      <c r="J443" s="277"/>
      <c r="K443" s="75">
        <f t="shared" si="48"/>
        <v>-195.07746867731308</v>
      </c>
      <c r="L443" s="81" t="str">
        <f t="shared" si="44"/>
        <v>LOSS</v>
      </c>
      <c r="M443" s="242">
        <f>IF(COUNTA($F$6:$F$10)=5,(F444-F24)/F24,"")</f>
        <v>0.93126693990539933</v>
      </c>
      <c r="N443" s="238">
        <f t="shared" si="45"/>
        <v>2</v>
      </c>
      <c r="O443" s="14" t="str">
        <f t="shared" si="46"/>
        <v>middle</v>
      </c>
      <c r="P443" s="14"/>
      <c r="Q443" s="14"/>
      <c r="R443" s="14"/>
      <c r="S443" s="14"/>
      <c r="T443" s="14"/>
      <c r="U443" s="14"/>
      <c r="V443" s="14"/>
      <c r="W443" s="39" t="str">
        <f>IF(AND(L443="WIN",L444&lt;&gt;"WIN"),SUMIF(L$24:L443,"WIN",K$24:K443)-SUM(W$23:W442),"")</f>
        <v/>
      </c>
      <c r="X443" s="41" t="str">
        <f>IF(AND(L443="LOSS",L444&lt;&gt;"LOSS"),SUMIF(L$24:L443,"LOSS",K$24:K443)-SUM(X$23:X442),"")</f>
        <v/>
      </c>
      <c r="Y443" s="8"/>
      <c r="Z443" s="85"/>
      <c r="AA443" s="85"/>
      <c r="AB443" s="85"/>
      <c r="AC443" s="85"/>
      <c r="AD443" s="85"/>
      <c r="AE443" s="85"/>
      <c r="AF443" s="85"/>
      <c r="AG443" s="85"/>
      <c r="AH443" s="85"/>
      <c r="AI443" s="85"/>
      <c r="AJ443" s="85"/>
      <c r="AK443" s="85"/>
      <c r="AL443" s="85"/>
      <c r="AM443" s="85"/>
      <c r="AN443" s="85"/>
      <c r="AO443" s="85"/>
      <c r="AP443" s="85"/>
      <c r="AQ443" s="85"/>
      <c r="AR443" s="85"/>
      <c r="AS443" s="85"/>
      <c r="AT443" s="85"/>
      <c r="AU443" s="85"/>
      <c r="AV443" s="85"/>
      <c r="AW443" s="85"/>
      <c r="AX443" s="85"/>
      <c r="AY443" s="85"/>
      <c r="AZ443" s="85"/>
      <c r="BA443" s="85"/>
    </row>
    <row r="444" spans="1:53" ht="15.75">
      <c r="A444" s="149"/>
      <c r="B444" s="305" t="s">
        <v>488</v>
      </c>
      <c r="C444" s="306"/>
      <c r="D444" s="271">
        <v>80</v>
      </c>
      <c r="E444" s="272"/>
      <c r="F444" s="278">
        <f t="shared" si="47"/>
        <v>19312.669399053993</v>
      </c>
      <c r="G444" s="279"/>
      <c r="H444" s="275">
        <f t="shared" si="43"/>
        <v>193.12669399053993</v>
      </c>
      <c r="I444" s="276"/>
      <c r="J444" s="277"/>
      <c r="K444" s="75">
        <f t="shared" si="48"/>
        <v>-193.12669399053993</v>
      </c>
      <c r="L444" s="81" t="str">
        <f t="shared" si="44"/>
        <v>LOSS</v>
      </c>
      <c r="M444" s="242">
        <f>IF(COUNTA($F$6:$F$10)=5,(F445-F24)/F24,"")</f>
        <v>0.91195427050634537</v>
      </c>
      <c r="N444" s="238">
        <f t="shared" si="45"/>
        <v>3</v>
      </c>
      <c r="O444" s="14" t="str">
        <f t="shared" si="46"/>
        <v>middle</v>
      </c>
      <c r="P444" s="14"/>
      <c r="Q444" s="14"/>
      <c r="R444" s="14"/>
      <c r="S444" s="14"/>
      <c r="T444" s="14"/>
      <c r="U444" s="14"/>
      <c r="V444" s="14"/>
      <c r="W444" s="39" t="str">
        <f>IF(AND(L444="WIN",L445&lt;&gt;"WIN"),SUMIF(L$24:L444,"WIN",K$24:K444)-SUM(W$23:W443),"")</f>
        <v/>
      </c>
      <c r="X444" s="41" t="str">
        <f>IF(AND(L444="LOSS",L445&lt;&gt;"LOSS"),SUMIF(L$24:L444,"LOSS",K$24:K444)-SUM(X$23:X443),"")</f>
        <v/>
      </c>
      <c r="Y444" s="8"/>
      <c r="Z444" s="85"/>
      <c r="AA444" s="85"/>
      <c r="AB444" s="85"/>
      <c r="AC444" s="85"/>
      <c r="AD444" s="85"/>
      <c r="AE444" s="85"/>
      <c r="AF444" s="85"/>
      <c r="AG444" s="85"/>
      <c r="AH444" s="85"/>
      <c r="AI444" s="85"/>
      <c r="AJ444" s="85"/>
      <c r="AK444" s="85"/>
      <c r="AL444" s="85"/>
      <c r="AM444" s="85"/>
      <c r="AN444" s="85"/>
      <c r="AO444" s="85"/>
      <c r="AP444" s="85"/>
      <c r="AQ444" s="85"/>
      <c r="AR444" s="85"/>
      <c r="AS444" s="85"/>
      <c r="AT444" s="85"/>
      <c r="AU444" s="85"/>
      <c r="AV444" s="85"/>
      <c r="AW444" s="85"/>
      <c r="AX444" s="85"/>
      <c r="AY444" s="85"/>
      <c r="AZ444" s="85"/>
      <c r="BA444" s="85"/>
    </row>
    <row r="445" spans="1:53" ht="15.75">
      <c r="A445" s="149"/>
      <c r="B445" s="305" t="s">
        <v>489</v>
      </c>
      <c r="C445" s="306"/>
      <c r="D445" s="271">
        <v>94</v>
      </c>
      <c r="E445" s="272"/>
      <c r="F445" s="278">
        <f t="shared" si="47"/>
        <v>19119.542705063453</v>
      </c>
      <c r="G445" s="279"/>
      <c r="H445" s="275">
        <f t="shared" si="43"/>
        <v>191.19542705063455</v>
      </c>
      <c r="I445" s="276"/>
      <c r="J445" s="277"/>
      <c r="K445" s="75">
        <f t="shared" si="48"/>
        <v>-191.19542705063455</v>
      </c>
      <c r="L445" s="81" t="str">
        <f t="shared" si="44"/>
        <v>LOSS</v>
      </c>
      <c r="M445" s="242">
        <f>IF(COUNTA($F$6:$F$10)=5,(F446-F24)/F24,"")</f>
        <v>0.89283472780128181</v>
      </c>
      <c r="N445" s="238">
        <f t="shared" si="45"/>
        <v>4</v>
      </c>
      <c r="O445" s="14" t="str">
        <f t="shared" si="46"/>
        <v>middle</v>
      </c>
      <c r="P445" s="14"/>
      <c r="Q445" s="14"/>
      <c r="R445" s="14"/>
      <c r="S445" s="14"/>
      <c r="T445" s="14"/>
      <c r="U445" s="14"/>
      <c r="V445" s="14"/>
      <c r="W445" s="39" t="str">
        <f>IF(AND(L445="WIN",L446&lt;&gt;"WIN"),SUMIF(L$24:L445,"WIN",K$24:K445)-SUM(W$23:W444),"")</f>
        <v/>
      </c>
      <c r="X445" s="41" t="str">
        <f>IF(AND(L445="LOSS",L446&lt;&gt;"LOSS"),SUMIF(L$24:L445,"LOSS",K$24:K445)-SUM(X$23:X444),"")</f>
        <v/>
      </c>
      <c r="Y445" s="8"/>
      <c r="Z445" s="85"/>
      <c r="AA445" s="85"/>
      <c r="AB445" s="85"/>
      <c r="AC445" s="85"/>
      <c r="AD445" s="85"/>
      <c r="AE445" s="85"/>
      <c r="AF445" s="85"/>
      <c r="AG445" s="85"/>
      <c r="AH445" s="85"/>
      <c r="AI445" s="85"/>
      <c r="AJ445" s="85"/>
      <c r="AK445" s="85"/>
      <c r="AL445" s="85"/>
      <c r="AM445" s="85"/>
      <c r="AN445" s="85"/>
      <c r="AO445" s="85"/>
      <c r="AP445" s="85"/>
      <c r="AQ445" s="85"/>
      <c r="AR445" s="85"/>
      <c r="AS445" s="85"/>
      <c r="AT445" s="85"/>
      <c r="AU445" s="85"/>
      <c r="AV445" s="85"/>
      <c r="AW445" s="85"/>
      <c r="AX445" s="85"/>
      <c r="AY445" s="85"/>
      <c r="AZ445" s="85"/>
      <c r="BA445" s="85"/>
    </row>
    <row r="446" spans="1:53" ht="15.75">
      <c r="A446" s="149"/>
      <c r="B446" s="305" t="s">
        <v>490</v>
      </c>
      <c r="C446" s="306"/>
      <c r="D446" s="271">
        <v>71</v>
      </c>
      <c r="E446" s="272"/>
      <c r="F446" s="278">
        <f t="shared" si="47"/>
        <v>18928.347278012818</v>
      </c>
      <c r="G446" s="279"/>
      <c r="H446" s="275">
        <f t="shared" si="43"/>
        <v>189.28347278012819</v>
      </c>
      <c r="I446" s="276"/>
      <c r="J446" s="277"/>
      <c r="K446" s="75">
        <f t="shared" si="48"/>
        <v>-189.28347278012819</v>
      </c>
      <c r="L446" s="81" t="str">
        <f t="shared" si="44"/>
        <v>LOSS</v>
      </c>
      <c r="M446" s="242">
        <f>IF(COUNTA($F$6:$F$10)=5,(F447-F24)/F24,"")</f>
        <v>0.87390638052326908</v>
      </c>
      <c r="N446" s="238">
        <f t="shared" si="45"/>
        <v>5</v>
      </c>
      <c r="O446" s="14" t="str">
        <f t="shared" si="46"/>
        <v>last</v>
      </c>
      <c r="P446" s="14"/>
      <c r="Q446" s="14"/>
      <c r="R446" s="14"/>
      <c r="S446" s="14"/>
      <c r="T446" s="14"/>
      <c r="U446" s="14"/>
      <c r="V446" s="14"/>
      <c r="W446" s="39" t="str">
        <f>IF(AND(L446="WIN",L447&lt;&gt;"WIN"),SUMIF(L$24:L446,"WIN",K$24:K446)-SUM(W$23:W445),"")</f>
        <v/>
      </c>
      <c r="X446" s="41">
        <f>IF(AND(L446="LOSS",L447&lt;&gt;"LOSS"),SUMIF(L$24:L446,"LOSS",K$24:K446)-SUM(X$23:X445),"")</f>
        <v>-965.73101065752053</v>
      </c>
      <c r="Y446" s="8"/>
      <c r="Z446" s="85"/>
      <c r="AA446" s="85"/>
      <c r="AB446" s="85"/>
      <c r="AC446" s="85"/>
      <c r="AD446" s="85"/>
      <c r="AE446" s="85"/>
      <c r="AF446" s="85"/>
      <c r="AG446" s="85"/>
      <c r="AH446" s="85"/>
      <c r="AI446" s="85"/>
      <c r="AJ446" s="85"/>
      <c r="AK446" s="85"/>
      <c r="AL446" s="85"/>
      <c r="AM446" s="85"/>
      <c r="AN446" s="85"/>
      <c r="AO446" s="85"/>
      <c r="AP446" s="85"/>
      <c r="AQ446" s="85"/>
      <c r="AR446" s="85"/>
      <c r="AS446" s="85"/>
      <c r="AT446" s="85"/>
      <c r="AU446" s="85"/>
      <c r="AV446" s="85"/>
      <c r="AW446" s="85"/>
      <c r="AX446" s="85"/>
      <c r="AY446" s="85"/>
      <c r="AZ446" s="85"/>
      <c r="BA446" s="85"/>
    </row>
    <row r="447" spans="1:53" ht="15.75">
      <c r="A447" s="149"/>
      <c r="B447" s="305" t="s">
        <v>491</v>
      </c>
      <c r="C447" s="306"/>
      <c r="D447" s="271">
        <v>22</v>
      </c>
      <c r="E447" s="272"/>
      <c r="F447" s="278">
        <f t="shared" si="47"/>
        <v>18739.06380523269</v>
      </c>
      <c r="G447" s="279"/>
      <c r="H447" s="275">
        <f t="shared" si="43"/>
        <v>187.39063805232692</v>
      </c>
      <c r="I447" s="276"/>
      <c r="J447" s="277"/>
      <c r="K447" s="75">
        <f t="shared" si="48"/>
        <v>224.8687656627923</v>
      </c>
      <c r="L447" s="81" t="str">
        <f t="shared" si="44"/>
        <v>WIN</v>
      </c>
      <c r="M447" s="242">
        <f>IF(COUNTA($F$6:$F$10)=5,(F448-F24)/F24,"")</f>
        <v>0.8963932570895482</v>
      </c>
      <c r="N447" s="238">
        <f t="shared" si="45"/>
        <v>1</v>
      </c>
      <c r="O447" s="14" t="str">
        <f t="shared" si="46"/>
        <v>new</v>
      </c>
      <c r="P447" s="14"/>
      <c r="Q447" s="14"/>
      <c r="R447" s="14"/>
      <c r="S447" s="14"/>
      <c r="T447" s="14"/>
      <c r="U447" s="14"/>
      <c r="V447" s="14"/>
      <c r="W447" s="39" t="str">
        <f>IF(AND(L447="WIN",L448&lt;&gt;"WIN"),SUMIF(L$24:L447,"WIN",K$24:K447)-SUM(W$23:W446),"")</f>
        <v/>
      </c>
      <c r="X447" s="41" t="str">
        <f>IF(AND(L447="LOSS",L448&lt;&gt;"LOSS"),SUMIF(L$24:L447,"LOSS",K$24:K447)-SUM(X$23:X446),"")</f>
        <v/>
      </c>
      <c r="Y447" s="8"/>
      <c r="Z447" s="85"/>
      <c r="AA447" s="85"/>
      <c r="AB447" s="85"/>
      <c r="AC447" s="85"/>
      <c r="AD447" s="85"/>
      <c r="AE447" s="85"/>
      <c r="AF447" s="85"/>
      <c r="AG447" s="85"/>
      <c r="AH447" s="85"/>
      <c r="AI447" s="85"/>
      <c r="AJ447" s="85"/>
      <c r="AK447" s="85"/>
      <c r="AL447" s="85"/>
      <c r="AM447" s="85"/>
      <c r="AN447" s="85"/>
      <c r="AO447" s="85"/>
      <c r="AP447" s="85"/>
      <c r="AQ447" s="85"/>
      <c r="AR447" s="85"/>
      <c r="AS447" s="85"/>
      <c r="AT447" s="85"/>
      <c r="AU447" s="85"/>
      <c r="AV447" s="85"/>
      <c r="AW447" s="85"/>
      <c r="AX447" s="85"/>
      <c r="AY447" s="85"/>
      <c r="AZ447" s="85"/>
      <c r="BA447" s="85"/>
    </row>
    <row r="448" spans="1:53" ht="15.75">
      <c r="A448" s="149"/>
      <c r="B448" s="305" t="s">
        <v>492</v>
      </c>
      <c r="C448" s="306"/>
      <c r="D448" s="271">
        <v>51</v>
      </c>
      <c r="E448" s="272"/>
      <c r="F448" s="278">
        <f t="shared" si="47"/>
        <v>18963.932570895482</v>
      </c>
      <c r="G448" s="279"/>
      <c r="H448" s="275">
        <f t="shared" si="43"/>
        <v>189.63932570895483</v>
      </c>
      <c r="I448" s="276"/>
      <c r="J448" s="277"/>
      <c r="K448" s="75">
        <f t="shared" si="48"/>
        <v>227.56719085074579</v>
      </c>
      <c r="L448" s="81" t="str">
        <f t="shared" si="44"/>
        <v>WIN</v>
      </c>
      <c r="M448" s="242">
        <f>IF(COUNTA($F$6:$F$10)=5,(F449-F24)/F24,"")</f>
        <v>0.91914997617462291</v>
      </c>
      <c r="N448" s="238">
        <f t="shared" si="45"/>
        <v>2</v>
      </c>
      <c r="O448" s="14" t="str">
        <f t="shared" si="46"/>
        <v>last</v>
      </c>
      <c r="P448" s="14"/>
      <c r="Q448" s="14"/>
      <c r="R448" s="14"/>
      <c r="S448" s="14"/>
      <c r="T448" s="14"/>
      <c r="U448" s="14"/>
      <c r="V448" s="14"/>
      <c r="W448" s="39">
        <f>IF(AND(L448="WIN",L449&lt;&gt;"WIN"),SUMIF(L$24:L448,"WIN",K$24:K448)-SUM(W$23:W447),"")</f>
        <v>452.43595651353826</v>
      </c>
      <c r="X448" s="41" t="str">
        <f>IF(AND(L448="LOSS",L449&lt;&gt;"LOSS"),SUMIF(L$24:L448,"LOSS",K$24:K448)-SUM(X$23:X447),"")</f>
        <v/>
      </c>
      <c r="Y448" s="8"/>
      <c r="Z448" s="85"/>
      <c r="AA448" s="85"/>
      <c r="AB448" s="85"/>
      <c r="AC448" s="85"/>
      <c r="AD448" s="85"/>
      <c r="AE448" s="85"/>
      <c r="AF448" s="85"/>
      <c r="AG448" s="85"/>
      <c r="AH448" s="85"/>
      <c r="AI448" s="85"/>
      <c r="AJ448" s="85"/>
      <c r="AK448" s="85"/>
      <c r="AL448" s="85"/>
      <c r="AM448" s="85"/>
      <c r="AN448" s="85"/>
      <c r="AO448" s="85"/>
      <c r="AP448" s="85"/>
      <c r="AQ448" s="85"/>
      <c r="AR448" s="85"/>
      <c r="AS448" s="85"/>
      <c r="AT448" s="85"/>
      <c r="AU448" s="85"/>
      <c r="AV448" s="85"/>
      <c r="AW448" s="85"/>
      <c r="AX448" s="85"/>
      <c r="AY448" s="85"/>
      <c r="AZ448" s="85"/>
      <c r="BA448" s="85"/>
    </row>
    <row r="449" spans="1:53" ht="15.75">
      <c r="A449" s="149"/>
      <c r="B449" s="305" t="s">
        <v>493</v>
      </c>
      <c r="C449" s="306"/>
      <c r="D449" s="271">
        <v>87</v>
      </c>
      <c r="E449" s="272"/>
      <c r="F449" s="278">
        <f t="shared" si="47"/>
        <v>19191.499761746229</v>
      </c>
      <c r="G449" s="279"/>
      <c r="H449" s="275">
        <f t="shared" si="43"/>
        <v>191.91499761746229</v>
      </c>
      <c r="I449" s="276"/>
      <c r="J449" s="277"/>
      <c r="K449" s="75">
        <f t="shared" si="48"/>
        <v>-191.91499761746229</v>
      </c>
      <c r="L449" s="81" t="str">
        <f t="shared" si="44"/>
        <v>LOSS</v>
      </c>
      <c r="M449" s="242">
        <f>IF(COUNTA($F$6:$F$10)=5,(F450-F24)/F24,"")</f>
        <v>0.89995847641287652</v>
      </c>
      <c r="N449" s="238">
        <f t="shared" si="45"/>
        <v>1</v>
      </c>
      <c r="O449" s="14" t="str">
        <f t="shared" si="46"/>
        <v>last</v>
      </c>
      <c r="P449" s="14"/>
      <c r="Q449" s="14"/>
      <c r="R449" s="14"/>
      <c r="S449" s="14"/>
      <c r="T449" s="14"/>
      <c r="U449" s="14"/>
      <c r="V449" s="14"/>
      <c r="W449" s="39" t="str">
        <f>IF(AND(L449="WIN",L450&lt;&gt;"WIN"),SUMIF(L$24:L449,"WIN",K$24:K449)-SUM(W$23:W448),"")</f>
        <v/>
      </c>
      <c r="X449" s="41">
        <f>IF(AND(L449="LOSS",L450&lt;&gt;"LOSS"),SUMIF(L$24:L449,"LOSS",K$24:K449)-SUM(X$23:X448),"")</f>
        <v>-191.91499761746309</v>
      </c>
      <c r="Y449" s="8"/>
      <c r="Z449" s="85"/>
      <c r="AA449" s="85"/>
      <c r="AB449" s="85"/>
      <c r="AC449" s="85"/>
      <c r="AD449" s="85"/>
      <c r="AE449" s="85"/>
      <c r="AF449" s="85"/>
      <c r="AG449" s="85"/>
      <c r="AH449" s="85"/>
      <c r="AI449" s="85"/>
      <c r="AJ449" s="85"/>
      <c r="AK449" s="85"/>
      <c r="AL449" s="85"/>
      <c r="AM449" s="85"/>
      <c r="AN449" s="85"/>
      <c r="AO449" s="85"/>
      <c r="AP449" s="85"/>
      <c r="AQ449" s="85"/>
      <c r="AR449" s="85"/>
      <c r="AS449" s="85"/>
      <c r="AT449" s="85"/>
      <c r="AU449" s="85"/>
      <c r="AV449" s="85"/>
      <c r="AW449" s="85"/>
      <c r="AX449" s="85"/>
      <c r="AY449" s="85"/>
      <c r="AZ449" s="85"/>
      <c r="BA449" s="85"/>
    </row>
    <row r="450" spans="1:53" ht="15.75">
      <c r="A450" s="149"/>
      <c r="B450" s="305" t="s">
        <v>494</v>
      </c>
      <c r="C450" s="306"/>
      <c r="D450" s="271">
        <v>24</v>
      </c>
      <c r="E450" s="272"/>
      <c r="F450" s="278">
        <f t="shared" si="47"/>
        <v>18999.584764128766</v>
      </c>
      <c r="G450" s="279"/>
      <c r="H450" s="275">
        <f t="shared" si="43"/>
        <v>189.99584764128767</v>
      </c>
      <c r="I450" s="276"/>
      <c r="J450" s="277"/>
      <c r="K450" s="75">
        <f t="shared" si="48"/>
        <v>227.99501716954521</v>
      </c>
      <c r="L450" s="81" t="str">
        <f t="shared" si="44"/>
        <v>WIN</v>
      </c>
      <c r="M450" s="242">
        <f>IF(COUNTA($F$6:$F$10)=5,(F451-F24)/F24,"")</f>
        <v>0.92275797812983107</v>
      </c>
      <c r="N450" s="238">
        <f t="shared" si="45"/>
        <v>1</v>
      </c>
      <c r="O450" s="14" t="str">
        <f t="shared" si="46"/>
        <v>new</v>
      </c>
      <c r="P450" s="14"/>
      <c r="Q450" s="14"/>
      <c r="R450" s="14"/>
      <c r="S450" s="14"/>
      <c r="T450" s="14"/>
      <c r="U450" s="14"/>
      <c r="V450" s="14"/>
      <c r="W450" s="39" t="str">
        <f>IF(AND(L450="WIN",L451&lt;&gt;"WIN"),SUMIF(L$24:L450,"WIN",K$24:K450)-SUM(W$23:W449),"")</f>
        <v/>
      </c>
      <c r="X450" s="41" t="str">
        <f>IF(AND(L450="LOSS",L451&lt;&gt;"LOSS"),SUMIF(L$24:L450,"LOSS",K$24:K450)-SUM(X$23:X449),"")</f>
        <v/>
      </c>
      <c r="Y450" s="8"/>
      <c r="Z450" s="85"/>
      <c r="AA450" s="85"/>
      <c r="AB450" s="85"/>
      <c r="AC450" s="85"/>
      <c r="AD450" s="85"/>
      <c r="AE450" s="85"/>
      <c r="AF450" s="85"/>
      <c r="AG450" s="85"/>
      <c r="AH450" s="85"/>
      <c r="AI450" s="85"/>
      <c r="AJ450" s="85"/>
      <c r="AK450" s="85"/>
      <c r="AL450" s="85"/>
      <c r="AM450" s="85"/>
      <c r="AN450" s="85"/>
      <c r="AO450" s="85"/>
      <c r="AP450" s="85"/>
      <c r="AQ450" s="85"/>
      <c r="AR450" s="85"/>
      <c r="AS450" s="85"/>
      <c r="AT450" s="85"/>
      <c r="AU450" s="85"/>
      <c r="AV450" s="85"/>
      <c r="AW450" s="85"/>
      <c r="AX450" s="85"/>
      <c r="AY450" s="85"/>
      <c r="AZ450" s="85"/>
      <c r="BA450" s="85"/>
    </row>
    <row r="451" spans="1:53" ht="15.75">
      <c r="A451" s="149"/>
      <c r="B451" s="305" t="s">
        <v>495</v>
      </c>
      <c r="C451" s="306"/>
      <c r="D451" s="271">
        <v>14</v>
      </c>
      <c r="E451" s="272"/>
      <c r="F451" s="278">
        <f t="shared" si="47"/>
        <v>19227.579781298311</v>
      </c>
      <c r="G451" s="279"/>
      <c r="H451" s="275">
        <f t="shared" si="43"/>
        <v>192.27579781298311</v>
      </c>
      <c r="I451" s="276"/>
      <c r="J451" s="277"/>
      <c r="K451" s="75">
        <f t="shared" si="48"/>
        <v>230.73095737557972</v>
      </c>
      <c r="L451" s="81" t="str">
        <f t="shared" si="44"/>
        <v>WIN</v>
      </c>
      <c r="M451" s="242">
        <f>IF(COUNTA($F$6:$F$10)=5,(F452-F24)/F24,"")</f>
        <v>0.94583107386738918</v>
      </c>
      <c r="N451" s="238">
        <f t="shared" si="45"/>
        <v>2</v>
      </c>
      <c r="O451" s="14" t="str">
        <f t="shared" si="46"/>
        <v>middle</v>
      </c>
      <c r="P451" s="14"/>
      <c r="Q451" s="14"/>
      <c r="R451" s="14"/>
      <c r="S451" s="14"/>
      <c r="T451" s="14"/>
      <c r="U451" s="14"/>
      <c r="V451" s="14"/>
      <c r="W451" s="39" t="str">
        <f>IF(AND(L451="WIN",L452&lt;&gt;"WIN"),SUMIF(L$24:L451,"WIN",K$24:K451)-SUM(W$23:W450),"")</f>
        <v/>
      </c>
      <c r="X451" s="41" t="str">
        <f>IF(AND(L451="LOSS",L452&lt;&gt;"LOSS"),SUMIF(L$24:L451,"LOSS",K$24:K451)-SUM(X$23:X450),"")</f>
        <v/>
      </c>
      <c r="Y451" s="8"/>
      <c r="Z451" s="85"/>
      <c r="AA451" s="85"/>
      <c r="AB451" s="85"/>
      <c r="AC451" s="85"/>
      <c r="AD451" s="85"/>
      <c r="AE451" s="85"/>
      <c r="AF451" s="85"/>
      <c r="AG451" s="85"/>
      <c r="AH451" s="85"/>
      <c r="AI451" s="85"/>
      <c r="AJ451" s="85"/>
      <c r="AK451" s="85"/>
      <c r="AL451" s="85"/>
      <c r="AM451" s="85"/>
      <c r="AN451" s="85"/>
      <c r="AO451" s="85"/>
      <c r="AP451" s="85"/>
      <c r="AQ451" s="85"/>
      <c r="AR451" s="85"/>
      <c r="AS451" s="85"/>
      <c r="AT451" s="85"/>
      <c r="AU451" s="85"/>
      <c r="AV451" s="85"/>
      <c r="AW451" s="85"/>
      <c r="AX451" s="85"/>
      <c r="AY451" s="85"/>
      <c r="AZ451" s="85"/>
      <c r="BA451" s="85"/>
    </row>
    <row r="452" spans="1:53" ht="15.75">
      <c r="A452" s="149"/>
      <c r="B452" s="305" t="s">
        <v>496</v>
      </c>
      <c r="C452" s="306"/>
      <c r="D452" s="271">
        <v>19</v>
      </c>
      <c r="E452" s="272"/>
      <c r="F452" s="278">
        <f t="shared" si="47"/>
        <v>19458.310738673892</v>
      </c>
      <c r="G452" s="279"/>
      <c r="H452" s="275">
        <f t="shared" si="43"/>
        <v>194.58310738673893</v>
      </c>
      <c r="I452" s="276"/>
      <c r="J452" s="277"/>
      <c r="K452" s="75">
        <f t="shared" si="48"/>
        <v>233.49972886408671</v>
      </c>
      <c r="L452" s="81" t="str">
        <f t="shared" si="44"/>
        <v>WIN</v>
      </c>
      <c r="M452" s="242">
        <f>IF(COUNTA($F$6:$F$10)=5,(F453-F24)/F24,"")</f>
        <v>0.96918104675379801</v>
      </c>
      <c r="N452" s="238">
        <f t="shared" si="45"/>
        <v>3</v>
      </c>
      <c r="O452" s="14" t="str">
        <f t="shared" si="46"/>
        <v>middle</v>
      </c>
      <c r="P452" s="14"/>
      <c r="Q452" s="14"/>
      <c r="R452" s="14"/>
      <c r="S452" s="14"/>
      <c r="T452" s="14"/>
      <c r="U452" s="14"/>
      <c r="V452" s="14"/>
      <c r="W452" s="39" t="str">
        <f>IF(AND(L452="WIN",L453&lt;&gt;"WIN"),SUMIF(L$24:L452,"WIN",K$24:K452)-SUM(W$23:W451),"")</f>
        <v/>
      </c>
      <c r="X452" s="41" t="str">
        <f>IF(AND(L452="LOSS",L453&lt;&gt;"LOSS"),SUMIF(L$24:L452,"LOSS",K$24:K452)-SUM(X$23:X451),"")</f>
        <v/>
      </c>
      <c r="Y452" s="8"/>
      <c r="Z452" s="85"/>
      <c r="AA452" s="85"/>
      <c r="AB452" s="85"/>
      <c r="AC452" s="85"/>
      <c r="AD452" s="85"/>
      <c r="AE452" s="85"/>
      <c r="AF452" s="85"/>
      <c r="AG452" s="85"/>
      <c r="AH452" s="85"/>
      <c r="AI452" s="85"/>
      <c r="AJ452" s="85"/>
      <c r="AK452" s="85"/>
      <c r="AL452" s="85"/>
      <c r="AM452" s="85"/>
      <c r="AN452" s="85"/>
      <c r="AO452" s="85"/>
      <c r="AP452" s="85"/>
      <c r="AQ452" s="85"/>
      <c r="AR452" s="85"/>
      <c r="AS452" s="85"/>
      <c r="AT452" s="85"/>
      <c r="AU452" s="85"/>
      <c r="AV452" s="85"/>
      <c r="AW452" s="85"/>
      <c r="AX452" s="85"/>
      <c r="AY452" s="85"/>
      <c r="AZ452" s="85"/>
      <c r="BA452" s="85"/>
    </row>
    <row r="453" spans="1:53" ht="15.75">
      <c r="A453" s="149"/>
      <c r="B453" s="305" t="s">
        <v>497</v>
      </c>
      <c r="C453" s="306"/>
      <c r="D453" s="271">
        <v>43</v>
      </c>
      <c r="E453" s="272"/>
      <c r="F453" s="278">
        <f t="shared" si="47"/>
        <v>19691.81046753798</v>
      </c>
      <c r="G453" s="279"/>
      <c r="H453" s="275">
        <f t="shared" si="43"/>
        <v>196.91810467537979</v>
      </c>
      <c r="I453" s="276"/>
      <c r="J453" s="277"/>
      <c r="K453" s="75">
        <f t="shared" si="48"/>
        <v>236.30172561045575</v>
      </c>
      <c r="L453" s="81" t="str">
        <f t="shared" si="44"/>
        <v>WIN</v>
      </c>
      <c r="M453" s="242">
        <f>IF(COUNTA($F$6:$F$10)=5,(F454-F24)/F24,"")</f>
        <v>0.99281121931484373</v>
      </c>
      <c r="N453" s="238">
        <f t="shared" si="45"/>
        <v>4</v>
      </c>
      <c r="O453" s="14" t="str">
        <f t="shared" si="46"/>
        <v>middle</v>
      </c>
      <c r="P453" s="14"/>
      <c r="Q453" s="14"/>
      <c r="R453" s="14"/>
      <c r="S453" s="14"/>
      <c r="T453" s="14"/>
      <c r="U453" s="14"/>
      <c r="V453" s="14"/>
      <c r="W453" s="39" t="str">
        <f>IF(AND(L453="WIN",L454&lt;&gt;"WIN"),SUMIF(L$24:L453,"WIN",K$24:K453)-SUM(W$23:W452),"")</f>
        <v/>
      </c>
      <c r="X453" s="41" t="str">
        <f>IF(AND(L453="LOSS",L454&lt;&gt;"LOSS"),SUMIF(L$24:L453,"LOSS",K$24:K453)-SUM(X$23:X452),"")</f>
        <v/>
      </c>
      <c r="Y453" s="8"/>
      <c r="Z453" s="85"/>
      <c r="AA453" s="85"/>
      <c r="AB453" s="85"/>
      <c r="AC453" s="85"/>
      <c r="AD453" s="85"/>
      <c r="AE453" s="85"/>
      <c r="AF453" s="85"/>
      <c r="AG453" s="85"/>
      <c r="AH453" s="85"/>
      <c r="AI453" s="85"/>
      <c r="AJ453" s="85"/>
      <c r="AK453" s="85"/>
      <c r="AL453" s="85"/>
      <c r="AM453" s="85"/>
      <c r="AN453" s="85"/>
      <c r="AO453" s="85"/>
      <c r="AP453" s="85"/>
      <c r="AQ453" s="85"/>
      <c r="AR453" s="85"/>
      <c r="AS453" s="85"/>
      <c r="AT453" s="85"/>
      <c r="AU453" s="85"/>
      <c r="AV453" s="85"/>
      <c r="AW453" s="85"/>
      <c r="AX453" s="85"/>
      <c r="AY453" s="85"/>
      <c r="AZ453" s="85"/>
      <c r="BA453" s="85"/>
    </row>
    <row r="454" spans="1:53" ht="15.75">
      <c r="A454" s="149"/>
      <c r="B454" s="305" t="s">
        <v>498</v>
      </c>
      <c r="C454" s="306"/>
      <c r="D454" s="271">
        <v>35</v>
      </c>
      <c r="E454" s="272"/>
      <c r="F454" s="278">
        <f t="shared" si="47"/>
        <v>19928.112193148438</v>
      </c>
      <c r="G454" s="279"/>
      <c r="H454" s="275">
        <f t="shared" si="43"/>
        <v>199.28112193148439</v>
      </c>
      <c r="I454" s="276"/>
      <c r="J454" s="277"/>
      <c r="K454" s="75">
        <f t="shared" si="48"/>
        <v>239.13734631778127</v>
      </c>
      <c r="L454" s="81" t="str">
        <f t="shared" si="44"/>
        <v>WIN</v>
      </c>
      <c r="M454" s="242">
        <f>IF(COUNTA($F$6:$F$10)=5,(F455-F24)/F24,"")</f>
        <v>1.0167249539466219</v>
      </c>
      <c r="N454" s="238">
        <f t="shared" si="45"/>
        <v>5</v>
      </c>
      <c r="O454" s="14" t="str">
        <f t="shared" si="46"/>
        <v>last</v>
      </c>
      <c r="P454" s="14"/>
      <c r="Q454" s="14"/>
      <c r="R454" s="14"/>
      <c r="S454" s="14"/>
      <c r="T454" s="14"/>
      <c r="U454" s="14"/>
      <c r="V454" s="14"/>
      <c r="W454" s="39">
        <f>IF(AND(L454="WIN",L455&lt;&gt;"WIN"),SUMIF(L$24:L454,"WIN",K$24:K454)-SUM(W$23:W453),"")</f>
        <v>1167.6647753374491</v>
      </c>
      <c r="X454" s="41" t="str">
        <f>IF(AND(L454="LOSS",L455&lt;&gt;"LOSS"),SUMIF(L$24:L454,"LOSS",K$24:K454)-SUM(X$23:X453),"")</f>
        <v/>
      </c>
      <c r="Y454" s="8"/>
      <c r="Z454" s="85"/>
      <c r="AA454" s="85"/>
      <c r="AB454" s="85"/>
      <c r="AC454" s="85"/>
      <c r="AD454" s="85"/>
      <c r="AE454" s="85"/>
      <c r="AF454" s="85"/>
      <c r="AG454" s="85"/>
      <c r="AH454" s="85"/>
      <c r="AI454" s="85"/>
      <c r="AJ454" s="85"/>
      <c r="AK454" s="85"/>
      <c r="AL454" s="85"/>
      <c r="AM454" s="85"/>
      <c r="AN454" s="85"/>
      <c r="AO454" s="85"/>
      <c r="AP454" s="85"/>
      <c r="AQ454" s="85"/>
      <c r="AR454" s="85"/>
      <c r="AS454" s="85"/>
      <c r="AT454" s="85"/>
      <c r="AU454" s="85"/>
      <c r="AV454" s="85"/>
      <c r="AW454" s="85"/>
      <c r="AX454" s="85"/>
      <c r="AY454" s="85"/>
      <c r="AZ454" s="85"/>
      <c r="BA454" s="85"/>
    </row>
    <row r="455" spans="1:53" ht="15.75">
      <c r="A455" s="149"/>
      <c r="B455" s="305" t="s">
        <v>499</v>
      </c>
      <c r="C455" s="306"/>
      <c r="D455" s="271">
        <v>82</v>
      </c>
      <c r="E455" s="272"/>
      <c r="F455" s="278">
        <f t="shared" si="47"/>
        <v>20167.249539466218</v>
      </c>
      <c r="G455" s="279"/>
      <c r="H455" s="275">
        <f t="shared" si="43"/>
        <v>201.67249539466218</v>
      </c>
      <c r="I455" s="276"/>
      <c r="J455" s="277"/>
      <c r="K455" s="75">
        <f t="shared" si="48"/>
        <v>-201.67249539466218</v>
      </c>
      <c r="L455" s="81" t="str">
        <f t="shared" si="44"/>
        <v>LOSS</v>
      </c>
      <c r="M455" s="242">
        <f>IF(COUNTA($F$6:$F$10)=5,(F456-F24)/F24,"")</f>
        <v>0.99655770440715574</v>
      </c>
      <c r="N455" s="238">
        <f t="shared" si="45"/>
        <v>1</v>
      </c>
      <c r="O455" s="14" t="str">
        <f t="shared" si="46"/>
        <v>new</v>
      </c>
      <c r="P455" s="14"/>
      <c r="Q455" s="14"/>
      <c r="R455" s="14"/>
      <c r="S455" s="14"/>
      <c r="T455" s="14"/>
      <c r="U455" s="14"/>
      <c r="V455" s="14"/>
      <c r="W455" s="39" t="str">
        <f>IF(AND(L455="WIN",L456&lt;&gt;"WIN"),SUMIF(L$24:L455,"WIN",K$24:K455)-SUM(W$23:W454),"")</f>
        <v/>
      </c>
      <c r="X455" s="41" t="str">
        <f>IF(AND(L455="LOSS",L456&lt;&gt;"LOSS"),SUMIF(L$24:L455,"LOSS",K$24:K455)-SUM(X$23:X454),"")</f>
        <v/>
      </c>
      <c r="Y455" s="8"/>
      <c r="Z455" s="85"/>
      <c r="AA455" s="85"/>
      <c r="AB455" s="85"/>
      <c r="AC455" s="85"/>
      <c r="AD455" s="85"/>
      <c r="AE455" s="85"/>
      <c r="AF455" s="85"/>
      <c r="AG455" s="85"/>
      <c r="AH455" s="85"/>
      <c r="AI455" s="85"/>
      <c r="AJ455" s="85"/>
      <c r="AK455" s="85"/>
      <c r="AL455" s="85"/>
      <c r="AM455" s="85"/>
      <c r="AN455" s="85"/>
      <c r="AO455" s="85"/>
      <c r="AP455" s="85"/>
      <c r="AQ455" s="85"/>
      <c r="AR455" s="85"/>
      <c r="AS455" s="85"/>
      <c r="AT455" s="85"/>
      <c r="AU455" s="85"/>
      <c r="AV455" s="85"/>
      <c r="AW455" s="85"/>
      <c r="AX455" s="85"/>
      <c r="AY455" s="85"/>
      <c r="AZ455" s="85"/>
      <c r="BA455" s="85"/>
    </row>
    <row r="456" spans="1:53" ht="15.75">
      <c r="A456" s="149"/>
      <c r="B456" s="305" t="s">
        <v>500</v>
      </c>
      <c r="C456" s="306"/>
      <c r="D456" s="271">
        <v>66</v>
      </c>
      <c r="E456" s="272"/>
      <c r="F456" s="278">
        <f t="shared" si="47"/>
        <v>19965.577044071557</v>
      </c>
      <c r="G456" s="279"/>
      <c r="H456" s="275">
        <f t="shared" si="43"/>
        <v>199.65577044071557</v>
      </c>
      <c r="I456" s="276"/>
      <c r="J456" s="277"/>
      <c r="K456" s="75">
        <f t="shared" si="48"/>
        <v>-199.65577044071557</v>
      </c>
      <c r="L456" s="81" t="str">
        <f t="shared" si="44"/>
        <v>LOSS</v>
      </c>
      <c r="M456" s="242">
        <f>IF(COUNTA($F$6:$F$10)=5,(F457-F24)/F24,"")</f>
        <v>0.97659212736308398</v>
      </c>
      <c r="N456" s="238">
        <f t="shared" si="45"/>
        <v>2</v>
      </c>
      <c r="O456" s="14" t="str">
        <f t="shared" si="46"/>
        <v>middle</v>
      </c>
      <c r="P456" s="14"/>
      <c r="Q456" s="14"/>
      <c r="R456" s="14"/>
      <c r="S456" s="14"/>
      <c r="T456" s="14"/>
      <c r="U456" s="14"/>
      <c r="V456" s="14"/>
      <c r="W456" s="39" t="str">
        <f>IF(AND(L456="WIN",L457&lt;&gt;"WIN"),SUMIF(L$24:L456,"WIN",K$24:K456)-SUM(W$23:W455),"")</f>
        <v/>
      </c>
      <c r="X456" s="41" t="str">
        <f>IF(AND(L456="LOSS",L457&lt;&gt;"LOSS"),SUMIF(L$24:L456,"LOSS",K$24:K456)-SUM(X$23:X455),"")</f>
        <v/>
      </c>
      <c r="Y456" s="8"/>
      <c r="Z456" s="85"/>
      <c r="AA456" s="85"/>
      <c r="AB456" s="85"/>
      <c r="AC456" s="85"/>
      <c r="AD456" s="85"/>
      <c r="AE456" s="85"/>
      <c r="AF456" s="85"/>
      <c r="AG456" s="85"/>
      <c r="AH456" s="85"/>
      <c r="AI456" s="85"/>
      <c r="AJ456" s="85"/>
      <c r="AK456" s="85"/>
      <c r="AL456" s="85"/>
      <c r="AM456" s="85"/>
      <c r="AN456" s="85"/>
      <c r="AO456" s="85"/>
      <c r="AP456" s="85"/>
      <c r="AQ456" s="85"/>
      <c r="AR456" s="85"/>
      <c r="AS456" s="85"/>
      <c r="AT456" s="85"/>
      <c r="AU456" s="85"/>
      <c r="AV456" s="85"/>
      <c r="AW456" s="85"/>
      <c r="AX456" s="85"/>
      <c r="AY456" s="85"/>
      <c r="AZ456" s="85"/>
      <c r="BA456" s="85"/>
    </row>
    <row r="457" spans="1:53" ht="15.75">
      <c r="A457" s="149"/>
      <c r="B457" s="305" t="s">
        <v>501</v>
      </c>
      <c r="C457" s="306"/>
      <c r="D457" s="271">
        <v>59</v>
      </c>
      <c r="E457" s="272"/>
      <c r="F457" s="278">
        <f t="shared" si="47"/>
        <v>19765.92127363084</v>
      </c>
      <c r="G457" s="279"/>
      <c r="H457" s="275">
        <f t="shared" si="43"/>
        <v>197.6592127363084</v>
      </c>
      <c r="I457" s="276"/>
      <c r="J457" s="277"/>
      <c r="K457" s="75">
        <f t="shared" si="48"/>
        <v>-197.6592127363084</v>
      </c>
      <c r="L457" s="81" t="str">
        <f t="shared" si="44"/>
        <v>LOSS</v>
      </c>
      <c r="M457" s="242">
        <f>IF(COUNTA($F$6:$F$10)=5,(F458-F24)/F24,"")</f>
        <v>0.95682620608945324</v>
      </c>
      <c r="N457" s="238">
        <f t="shared" si="45"/>
        <v>3</v>
      </c>
      <c r="O457" s="14" t="str">
        <f t="shared" si="46"/>
        <v>last</v>
      </c>
      <c r="P457" s="14"/>
      <c r="Q457" s="14"/>
      <c r="R457" s="14"/>
      <c r="S457" s="14"/>
      <c r="T457" s="14"/>
      <c r="U457" s="14"/>
      <c r="V457" s="14"/>
      <c r="W457" s="39" t="str">
        <f>IF(AND(L457="WIN",L458&lt;&gt;"WIN"),SUMIF(L$24:L457,"WIN",K$24:K457)-SUM(W$23:W456),"")</f>
        <v/>
      </c>
      <c r="X457" s="41">
        <f>IF(AND(L457="LOSS",L458&lt;&gt;"LOSS"),SUMIF(L$24:L457,"LOSS",K$24:K457)-SUM(X$23:X456),"")</f>
        <v>-598.98747857168564</v>
      </c>
      <c r="Y457" s="8"/>
      <c r="Z457" s="85"/>
      <c r="AA457" s="85"/>
      <c r="AB457" s="85"/>
      <c r="AC457" s="85"/>
      <c r="AD457" s="85"/>
      <c r="AE457" s="85"/>
      <c r="AF457" s="85"/>
      <c r="AG457" s="85"/>
      <c r="AH457" s="85"/>
      <c r="AI457" s="85"/>
      <c r="AJ457" s="85"/>
      <c r="AK457" s="85"/>
      <c r="AL457" s="85"/>
      <c r="AM457" s="85"/>
      <c r="AN457" s="85"/>
      <c r="AO457" s="85"/>
      <c r="AP457" s="85"/>
      <c r="AQ457" s="85"/>
      <c r="AR457" s="85"/>
      <c r="AS457" s="85"/>
      <c r="AT457" s="85"/>
      <c r="AU457" s="85"/>
      <c r="AV457" s="85"/>
      <c r="AW457" s="85"/>
      <c r="AX457" s="85"/>
      <c r="AY457" s="85"/>
      <c r="AZ457" s="85"/>
      <c r="BA457" s="85"/>
    </row>
    <row r="458" spans="1:53" ht="15.75">
      <c r="A458" s="149"/>
      <c r="B458" s="305" t="s">
        <v>502</v>
      </c>
      <c r="C458" s="306"/>
      <c r="D458" s="271">
        <v>23</v>
      </c>
      <c r="E458" s="272"/>
      <c r="F458" s="278">
        <f t="shared" si="47"/>
        <v>19568.262060894533</v>
      </c>
      <c r="G458" s="279"/>
      <c r="H458" s="275">
        <f t="shared" si="43"/>
        <v>195.68262060894534</v>
      </c>
      <c r="I458" s="276"/>
      <c r="J458" s="277"/>
      <c r="K458" s="75">
        <f t="shared" si="48"/>
        <v>234.81914473073439</v>
      </c>
      <c r="L458" s="81" t="str">
        <f t="shared" si="44"/>
        <v>WIN</v>
      </c>
      <c r="M458" s="242">
        <f>IF(COUNTA($F$6:$F$10)=5,(F459-F24)/F24,"")</f>
        <v>0.98030812056252692</v>
      </c>
      <c r="N458" s="238">
        <f t="shared" si="45"/>
        <v>1</v>
      </c>
      <c r="O458" s="14" t="str">
        <f t="shared" si="46"/>
        <v>last</v>
      </c>
      <c r="P458" s="14"/>
      <c r="Q458" s="14"/>
      <c r="R458" s="14"/>
      <c r="S458" s="14"/>
      <c r="T458" s="14"/>
      <c r="U458" s="14"/>
      <c r="V458" s="14"/>
      <c r="W458" s="39">
        <f>IF(AND(L458="WIN",L459&lt;&gt;"WIN"),SUMIF(L$24:L458,"WIN",K$24:K458)-SUM(W$23:W457),"")</f>
        <v>234.81914473073266</v>
      </c>
      <c r="X458" s="41" t="str">
        <f>IF(AND(L458="LOSS",L459&lt;&gt;"LOSS"),SUMIF(L$24:L458,"LOSS",K$24:K458)-SUM(X$23:X457),"")</f>
        <v/>
      </c>
      <c r="Y458" s="8"/>
      <c r="Z458" s="85"/>
      <c r="AA458" s="85"/>
      <c r="AB458" s="85"/>
      <c r="AC458" s="85"/>
      <c r="AD458" s="85"/>
      <c r="AE458" s="85"/>
      <c r="AF458" s="85"/>
      <c r="AG458" s="85"/>
      <c r="AH458" s="85"/>
      <c r="AI458" s="85"/>
      <c r="AJ458" s="85"/>
      <c r="AK458" s="85"/>
      <c r="AL458" s="85"/>
      <c r="AM458" s="85"/>
      <c r="AN458" s="85"/>
      <c r="AO458" s="85"/>
      <c r="AP458" s="85"/>
      <c r="AQ458" s="85"/>
      <c r="AR458" s="85"/>
      <c r="AS458" s="85"/>
      <c r="AT458" s="85"/>
      <c r="AU458" s="85"/>
      <c r="AV458" s="85"/>
      <c r="AW458" s="85"/>
      <c r="AX458" s="85"/>
      <c r="AY458" s="85"/>
      <c r="AZ458" s="85"/>
      <c r="BA458" s="85"/>
    </row>
    <row r="459" spans="1:53" ht="15.75">
      <c r="A459" s="149"/>
      <c r="B459" s="305" t="s">
        <v>503</v>
      </c>
      <c r="C459" s="306"/>
      <c r="D459" s="271">
        <v>57</v>
      </c>
      <c r="E459" s="272"/>
      <c r="F459" s="278">
        <f t="shared" si="47"/>
        <v>19803.081205625269</v>
      </c>
      <c r="G459" s="279"/>
      <c r="H459" s="275">
        <f t="shared" si="43"/>
        <v>198.0308120562527</v>
      </c>
      <c r="I459" s="276"/>
      <c r="J459" s="277"/>
      <c r="K459" s="75">
        <f t="shared" si="48"/>
        <v>-198.0308120562527</v>
      </c>
      <c r="L459" s="81" t="str">
        <f t="shared" si="44"/>
        <v>LOSS</v>
      </c>
      <c r="M459" s="242">
        <f>IF(COUNTA($F$6:$F$10)=5,(F460-F24)/F24,"")</f>
        <v>0.96050503935690179</v>
      </c>
      <c r="N459" s="238">
        <f t="shared" si="45"/>
        <v>1</v>
      </c>
      <c r="O459" s="14" t="str">
        <f t="shared" si="46"/>
        <v>new</v>
      </c>
      <c r="P459" s="14"/>
      <c r="Q459" s="14"/>
      <c r="R459" s="14"/>
      <c r="S459" s="14"/>
      <c r="T459" s="14"/>
      <c r="U459" s="14"/>
      <c r="V459" s="14"/>
      <c r="W459" s="39" t="str">
        <f>IF(AND(L459="WIN",L460&lt;&gt;"WIN"),SUMIF(L$24:L459,"WIN",K$24:K459)-SUM(W$23:W458),"")</f>
        <v/>
      </c>
      <c r="X459" s="41" t="str">
        <f>IF(AND(L459="LOSS",L460&lt;&gt;"LOSS"),SUMIF(L$24:L459,"LOSS",K$24:K459)-SUM(X$23:X458),"")</f>
        <v/>
      </c>
      <c r="Y459" s="8"/>
      <c r="Z459" s="85"/>
      <c r="AA459" s="85"/>
      <c r="AB459" s="85"/>
      <c r="AC459" s="85"/>
      <c r="AD459" s="85"/>
      <c r="AE459" s="85"/>
      <c r="AF459" s="85"/>
      <c r="AG459" s="85"/>
      <c r="AH459" s="85"/>
      <c r="AI459" s="85"/>
      <c r="AJ459" s="85"/>
      <c r="AK459" s="85"/>
      <c r="AL459" s="85"/>
      <c r="AM459" s="85"/>
      <c r="AN459" s="85"/>
      <c r="AO459" s="85"/>
      <c r="AP459" s="85"/>
      <c r="AQ459" s="85"/>
      <c r="AR459" s="85"/>
      <c r="AS459" s="85"/>
      <c r="AT459" s="85"/>
      <c r="AU459" s="85"/>
      <c r="AV459" s="85"/>
      <c r="AW459" s="85"/>
      <c r="AX459" s="85"/>
      <c r="AY459" s="85"/>
      <c r="AZ459" s="85"/>
      <c r="BA459" s="85"/>
    </row>
    <row r="460" spans="1:53" ht="15.75">
      <c r="A460" s="149"/>
      <c r="B460" s="305" t="s">
        <v>504</v>
      </c>
      <c r="C460" s="306"/>
      <c r="D460" s="271">
        <v>90</v>
      </c>
      <c r="E460" s="272"/>
      <c r="F460" s="278">
        <f t="shared" si="47"/>
        <v>19605.050393569018</v>
      </c>
      <c r="G460" s="279"/>
      <c r="H460" s="275">
        <f t="shared" si="43"/>
        <v>196.05050393569019</v>
      </c>
      <c r="I460" s="276"/>
      <c r="J460" s="277"/>
      <c r="K460" s="75">
        <f t="shared" si="48"/>
        <v>-196.05050393569019</v>
      </c>
      <c r="L460" s="81" t="str">
        <f t="shared" si="44"/>
        <v>LOSS</v>
      </c>
      <c r="M460" s="242">
        <f>IF(COUNTA($F$6:$F$10)=5,(F461-F24)/F24,"")</f>
        <v>0.94089998896333271</v>
      </c>
      <c r="N460" s="238">
        <f t="shared" si="45"/>
        <v>2</v>
      </c>
      <c r="O460" s="14" t="str">
        <f t="shared" si="46"/>
        <v>last</v>
      </c>
      <c r="P460" s="14"/>
      <c r="Q460" s="14"/>
      <c r="R460" s="14"/>
      <c r="S460" s="14"/>
      <c r="T460" s="14"/>
      <c r="U460" s="14"/>
      <c r="V460" s="14"/>
      <c r="W460" s="39" t="str">
        <f>IF(AND(L460="WIN",L461&lt;&gt;"WIN"),SUMIF(L$24:L460,"WIN",K$24:K460)-SUM(W$23:W459),"")</f>
        <v/>
      </c>
      <c r="X460" s="41">
        <f>IF(AND(L460="LOSS",L461&lt;&gt;"LOSS"),SUMIF(L$24:L460,"LOSS",K$24:K460)-SUM(X$23:X459),"")</f>
        <v>-394.08131599194166</v>
      </c>
      <c r="Y460" s="8"/>
      <c r="Z460" s="85"/>
      <c r="AA460" s="85"/>
      <c r="AB460" s="85"/>
      <c r="AC460" s="85"/>
      <c r="AD460" s="85"/>
      <c r="AE460" s="85"/>
      <c r="AF460" s="85"/>
      <c r="AG460" s="85"/>
      <c r="AH460" s="85"/>
      <c r="AI460" s="85"/>
      <c r="AJ460" s="85"/>
      <c r="AK460" s="85"/>
      <c r="AL460" s="85"/>
      <c r="AM460" s="85"/>
      <c r="AN460" s="85"/>
      <c r="AO460" s="85"/>
      <c r="AP460" s="85"/>
      <c r="AQ460" s="85"/>
      <c r="AR460" s="85"/>
      <c r="AS460" s="85"/>
      <c r="AT460" s="85"/>
      <c r="AU460" s="85"/>
      <c r="AV460" s="85"/>
      <c r="AW460" s="85"/>
      <c r="AX460" s="85"/>
      <c r="AY460" s="85"/>
      <c r="AZ460" s="85"/>
      <c r="BA460" s="85"/>
    </row>
    <row r="461" spans="1:53" ht="15.75">
      <c r="A461" s="149"/>
      <c r="B461" s="305" t="s">
        <v>505</v>
      </c>
      <c r="C461" s="306"/>
      <c r="D461" s="271">
        <v>19</v>
      </c>
      <c r="E461" s="272"/>
      <c r="F461" s="278">
        <f t="shared" si="47"/>
        <v>19408.999889633327</v>
      </c>
      <c r="G461" s="279"/>
      <c r="H461" s="275">
        <f t="shared" si="43"/>
        <v>194.08999889633327</v>
      </c>
      <c r="I461" s="276"/>
      <c r="J461" s="277"/>
      <c r="K461" s="75">
        <f t="shared" si="48"/>
        <v>232.90799867559991</v>
      </c>
      <c r="L461" s="81" t="str">
        <f t="shared" si="44"/>
        <v>WIN</v>
      </c>
      <c r="M461" s="242">
        <f>IF(COUNTA($F$6:$F$10)=5,(F462-F24)/F24,"")</f>
        <v>0.96419078883089282</v>
      </c>
      <c r="N461" s="238">
        <f t="shared" si="45"/>
        <v>1</v>
      </c>
      <c r="O461" s="14" t="str">
        <f t="shared" si="46"/>
        <v>last</v>
      </c>
      <c r="P461" s="14"/>
      <c r="Q461" s="14"/>
      <c r="R461" s="14"/>
      <c r="S461" s="14"/>
      <c r="T461" s="14"/>
      <c r="U461" s="14"/>
      <c r="V461" s="14"/>
      <c r="W461" s="39">
        <f>IF(AND(L461="WIN",L462&lt;&gt;"WIN"),SUMIF(L$24:L461,"WIN",K$24:K461)-SUM(W$23:W460),"")</f>
        <v>232.9079986755969</v>
      </c>
      <c r="X461" s="41" t="str">
        <f>IF(AND(L461="LOSS",L462&lt;&gt;"LOSS"),SUMIF(L$24:L461,"LOSS",K$24:K461)-SUM(X$23:X460),"")</f>
        <v/>
      </c>
      <c r="Y461" s="8"/>
      <c r="Z461" s="85"/>
      <c r="AA461" s="85"/>
      <c r="AB461" s="85"/>
      <c r="AC461" s="85"/>
      <c r="AD461" s="85"/>
      <c r="AE461" s="85"/>
      <c r="AF461" s="85"/>
      <c r="AG461" s="85"/>
      <c r="AH461" s="85"/>
      <c r="AI461" s="85"/>
      <c r="AJ461" s="85"/>
      <c r="AK461" s="85"/>
      <c r="AL461" s="85"/>
      <c r="AM461" s="85"/>
      <c r="AN461" s="85"/>
      <c r="AO461" s="85"/>
      <c r="AP461" s="85"/>
      <c r="AQ461" s="85"/>
      <c r="AR461" s="85"/>
      <c r="AS461" s="85"/>
      <c r="AT461" s="85"/>
      <c r="AU461" s="85"/>
      <c r="AV461" s="85"/>
      <c r="AW461" s="85"/>
      <c r="AX461" s="85"/>
      <c r="AY461" s="85"/>
      <c r="AZ461" s="85"/>
      <c r="BA461" s="85"/>
    </row>
    <row r="462" spans="1:53" ht="15.75">
      <c r="A462" s="149"/>
      <c r="B462" s="305" t="s">
        <v>506</v>
      </c>
      <c r="C462" s="306"/>
      <c r="D462" s="271">
        <v>56</v>
      </c>
      <c r="E462" s="272"/>
      <c r="F462" s="278">
        <f t="shared" si="47"/>
        <v>19641.907888308928</v>
      </c>
      <c r="G462" s="279"/>
      <c r="H462" s="275">
        <f t="shared" si="43"/>
        <v>196.41907888308927</v>
      </c>
      <c r="I462" s="276"/>
      <c r="J462" s="277"/>
      <c r="K462" s="75">
        <f t="shared" si="48"/>
        <v>-196.41907888308927</v>
      </c>
      <c r="L462" s="81" t="str">
        <f t="shared" si="44"/>
        <v>LOSS</v>
      </c>
      <c r="M462" s="242">
        <f>IF(COUNTA($F$6:$F$10)=5,(F463-F24)/F24,"")</f>
        <v>0.94454888094258382</v>
      </c>
      <c r="N462" s="238">
        <f t="shared" si="45"/>
        <v>1</v>
      </c>
      <c r="O462" s="14" t="str">
        <f t="shared" si="46"/>
        <v>new</v>
      </c>
      <c r="P462" s="14"/>
      <c r="Q462" s="14"/>
      <c r="R462" s="14"/>
      <c r="S462" s="14"/>
      <c r="T462" s="14"/>
      <c r="U462" s="14"/>
      <c r="V462" s="14"/>
      <c r="W462" s="39" t="str">
        <f>IF(AND(L462="WIN",L463&lt;&gt;"WIN"),SUMIF(L$24:L462,"WIN",K$24:K462)-SUM(W$23:W461),"")</f>
        <v/>
      </c>
      <c r="X462" s="41" t="str">
        <f>IF(AND(L462="LOSS",L463&lt;&gt;"LOSS"),SUMIF(L$24:L462,"LOSS",K$24:K462)-SUM(X$23:X461),"")</f>
        <v/>
      </c>
      <c r="Y462" s="8"/>
      <c r="Z462" s="85"/>
      <c r="AA462" s="85"/>
      <c r="AB462" s="85"/>
      <c r="AC462" s="85"/>
      <c r="AD462" s="85"/>
      <c r="AE462" s="85"/>
      <c r="AF462" s="85"/>
      <c r="AG462" s="85"/>
      <c r="AH462" s="85"/>
      <c r="AI462" s="85"/>
      <c r="AJ462" s="85"/>
      <c r="AK462" s="85"/>
      <c r="AL462" s="85"/>
      <c r="AM462" s="85"/>
      <c r="AN462" s="85"/>
      <c r="AO462" s="85"/>
      <c r="AP462" s="85"/>
      <c r="AQ462" s="85"/>
      <c r="AR462" s="85"/>
      <c r="AS462" s="85"/>
      <c r="AT462" s="85"/>
      <c r="AU462" s="85"/>
      <c r="AV462" s="85"/>
      <c r="AW462" s="85"/>
      <c r="AX462" s="85"/>
      <c r="AY462" s="85"/>
      <c r="AZ462" s="85"/>
      <c r="BA462" s="85"/>
    </row>
    <row r="463" spans="1:53" ht="15.75">
      <c r="A463" s="149"/>
      <c r="B463" s="305" t="s">
        <v>507</v>
      </c>
      <c r="C463" s="306"/>
      <c r="D463" s="271">
        <v>89</v>
      </c>
      <c r="E463" s="272"/>
      <c r="F463" s="278">
        <f t="shared" si="47"/>
        <v>19445.488809425839</v>
      </c>
      <c r="G463" s="279"/>
      <c r="H463" s="275">
        <f t="shared" si="43"/>
        <v>194.45488809425839</v>
      </c>
      <c r="I463" s="276"/>
      <c r="J463" s="277"/>
      <c r="K463" s="75">
        <f t="shared" si="48"/>
        <v>-194.45488809425839</v>
      </c>
      <c r="L463" s="81" t="str">
        <f t="shared" si="44"/>
        <v>LOSS</v>
      </c>
      <c r="M463" s="242">
        <f>IF(COUNTA($F$6:$F$10)=5,(F464-F24)/F24,"")</f>
        <v>0.92510339213315784</v>
      </c>
      <c r="N463" s="238">
        <f t="shared" si="45"/>
        <v>2</v>
      </c>
      <c r="O463" s="14" t="str">
        <f t="shared" si="46"/>
        <v>middle</v>
      </c>
      <c r="P463" s="14"/>
      <c r="Q463" s="14"/>
      <c r="R463" s="14"/>
      <c r="S463" s="14"/>
      <c r="T463" s="14"/>
      <c r="U463" s="14"/>
      <c r="V463" s="14"/>
      <c r="W463" s="39" t="str">
        <f>IF(AND(L463="WIN",L464&lt;&gt;"WIN"),SUMIF(L$24:L463,"WIN",K$24:K463)-SUM(W$23:W462),"")</f>
        <v/>
      </c>
      <c r="X463" s="41" t="str">
        <f>IF(AND(L463="LOSS",L464&lt;&gt;"LOSS"),SUMIF(L$24:L463,"LOSS",K$24:K463)-SUM(X$23:X462),"")</f>
        <v/>
      </c>
      <c r="Y463" s="8"/>
      <c r="Z463" s="85"/>
      <c r="AA463" s="85"/>
      <c r="AB463" s="85"/>
      <c r="AC463" s="85"/>
      <c r="AD463" s="85"/>
      <c r="AE463" s="85"/>
      <c r="AF463" s="85"/>
      <c r="AG463" s="85"/>
      <c r="AH463" s="85"/>
      <c r="AI463" s="85"/>
      <c r="AJ463" s="85"/>
      <c r="AK463" s="85"/>
      <c r="AL463" s="85"/>
      <c r="AM463" s="85"/>
      <c r="AN463" s="85"/>
      <c r="AO463" s="85"/>
      <c r="AP463" s="85"/>
      <c r="AQ463" s="85"/>
      <c r="AR463" s="85"/>
      <c r="AS463" s="85"/>
      <c r="AT463" s="85"/>
      <c r="AU463" s="85"/>
      <c r="AV463" s="85"/>
      <c r="AW463" s="85"/>
      <c r="AX463" s="85"/>
      <c r="AY463" s="85"/>
      <c r="AZ463" s="85"/>
      <c r="BA463" s="85"/>
    </row>
    <row r="464" spans="1:53" ht="15.75">
      <c r="A464" s="149"/>
      <c r="B464" s="305" t="s">
        <v>508</v>
      </c>
      <c r="C464" s="306"/>
      <c r="D464" s="271">
        <v>93</v>
      </c>
      <c r="E464" s="272"/>
      <c r="F464" s="278">
        <f t="shared" si="47"/>
        <v>19251.033921331578</v>
      </c>
      <c r="G464" s="279"/>
      <c r="H464" s="275">
        <f t="shared" si="43"/>
        <v>192.51033921331577</v>
      </c>
      <c r="I464" s="276"/>
      <c r="J464" s="277"/>
      <c r="K464" s="75">
        <f t="shared" si="48"/>
        <v>-192.51033921331577</v>
      </c>
      <c r="L464" s="81" t="str">
        <f t="shared" si="44"/>
        <v>LOSS</v>
      </c>
      <c r="M464" s="242">
        <f>IF(COUNTA($F$6:$F$10)=5,(F465-F24)/F24,"")</f>
        <v>0.90585235821182619</v>
      </c>
      <c r="N464" s="238">
        <f t="shared" si="45"/>
        <v>3</v>
      </c>
      <c r="O464" s="14" t="str">
        <f t="shared" si="46"/>
        <v>middle</v>
      </c>
      <c r="P464" s="14"/>
      <c r="Q464" s="14"/>
      <c r="R464" s="14"/>
      <c r="S464" s="14"/>
      <c r="T464" s="14"/>
      <c r="U464" s="14"/>
      <c r="V464" s="14"/>
      <c r="W464" s="39" t="str">
        <f>IF(AND(L464="WIN",L465&lt;&gt;"WIN"),SUMIF(L$24:L464,"WIN",K$24:K464)-SUM(W$23:W463),"")</f>
        <v/>
      </c>
      <c r="X464" s="41" t="str">
        <f>IF(AND(L464="LOSS",L465&lt;&gt;"LOSS"),SUMIF(L$24:L464,"LOSS",K$24:K464)-SUM(X$23:X463),"")</f>
        <v/>
      </c>
      <c r="Y464" s="8"/>
      <c r="Z464" s="85"/>
      <c r="AA464" s="85"/>
      <c r="AB464" s="85"/>
      <c r="AC464" s="85"/>
      <c r="AD464" s="85"/>
      <c r="AE464" s="85"/>
      <c r="AF464" s="85"/>
      <c r="AG464" s="85"/>
      <c r="AH464" s="85"/>
      <c r="AI464" s="85"/>
      <c r="AJ464" s="85"/>
      <c r="AK464" s="85"/>
      <c r="AL464" s="85"/>
      <c r="AM464" s="85"/>
      <c r="AN464" s="85"/>
      <c r="AO464" s="85"/>
      <c r="AP464" s="85"/>
      <c r="AQ464" s="85"/>
      <c r="AR464" s="85"/>
      <c r="AS464" s="85"/>
      <c r="AT464" s="85"/>
      <c r="AU464" s="85"/>
      <c r="AV464" s="85"/>
      <c r="AW464" s="85"/>
      <c r="AX464" s="85"/>
      <c r="AY464" s="85"/>
      <c r="AZ464" s="85"/>
      <c r="BA464" s="85"/>
    </row>
    <row r="465" spans="1:53" ht="15.75">
      <c r="A465" s="149"/>
      <c r="B465" s="305" t="s">
        <v>509</v>
      </c>
      <c r="C465" s="306"/>
      <c r="D465" s="271">
        <v>84</v>
      </c>
      <c r="E465" s="272"/>
      <c r="F465" s="278">
        <f t="shared" si="47"/>
        <v>19058.523582118261</v>
      </c>
      <c r="G465" s="279"/>
      <c r="H465" s="275">
        <f t="shared" si="43"/>
        <v>190.58523582118261</v>
      </c>
      <c r="I465" s="276"/>
      <c r="J465" s="277"/>
      <c r="K465" s="75">
        <f t="shared" si="48"/>
        <v>-190.58523582118261</v>
      </c>
      <c r="L465" s="81" t="str">
        <f t="shared" si="44"/>
        <v>LOSS</v>
      </c>
      <c r="M465" s="242">
        <f>IF(COUNTA($F$6:$F$10)=5,(F466-F24)/F24,"")</f>
        <v>0.88679383462970796</v>
      </c>
      <c r="N465" s="238">
        <f t="shared" si="45"/>
        <v>4</v>
      </c>
      <c r="O465" s="14" t="str">
        <f t="shared" si="46"/>
        <v>last</v>
      </c>
      <c r="P465" s="14"/>
      <c r="Q465" s="14"/>
      <c r="R465" s="14"/>
      <c r="S465" s="14"/>
      <c r="T465" s="14"/>
      <c r="U465" s="14"/>
      <c r="V465" s="14"/>
      <c r="W465" s="39" t="str">
        <f>IF(AND(L465="WIN",L466&lt;&gt;"WIN"),SUMIF(L$24:L465,"WIN",K$24:K465)-SUM(W$23:W464),"")</f>
        <v/>
      </c>
      <c r="X465" s="41">
        <f>IF(AND(L465="LOSS",L466&lt;&gt;"LOSS"),SUMIF(L$24:L465,"LOSS",K$24:K465)-SUM(X$23:X464),"")</f>
        <v>-773.96954201184417</v>
      </c>
      <c r="Y465" s="8"/>
      <c r="Z465" s="85"/>
      <c r="AA465" s="85"/>
      <c r="AB465" s="85"/>
      <c r="AC465" s="85"/>
      <c r="AD465" s="85"/>
      <c r="AE465" s="85"/>
      <c r="AF465" s="85"/>
      <c r="AG465" s="85"/>
      <c r="AH465" s="85"/>
      <c r="AI465" s="85"/>
      <c r="AJ465" s="85"/>
      <c r="AK465" s="85"/>
      <c r="AL465" s="85"/>
      <c r="AM465" s="85"/>
      <c r="AN465" s="85"/>
      <c r="AO465" s="85"/>
      <c r="AP465" s="85"/>
      <c r="AQ465" s="85"/>
      <c r="AR465" s="85"/>
      <c r="AS465" s="85"/>
      <c r="AT465" s="85"/>
      <c r="AU465" s="85"/>
      <c r="AV465" s="85"/>
      <c r="AW465" s="85"/>
      <c r="AX465" s="85"/>
      <c r="AY465" s="85"/>
      <c r="AZ465" s="85"/>
      <c r="BA465" s="85"/>
    </row>
    <row r="466" spans="1:53" ht="15.75">
      <c r="A466" s="149"/>
      <c r="B466" s="305" t="s">
        <v>510</v>
      </c>
      <c r="C466" s="306"/>
      <c r="D466" s="271">
        <v>1</v>
      </c>
      <c r="E466" s="272"/>
      <c r="F466" s="278">
        <f t="shared" si="47"/>
        <v>18867.93834629708</v>
      </c>
      <c r="G466" s="279"/>
      <c r="H466" s="275">
        <f t="shared" si="43"/>
        <v>188.6793834629708</v>
      </c>
      <c r="I466" s="276"/>
      <c r="J466" s="277"/>
      <c r="K466" s="75">
        <f t="shared" si="48"/>
        <v>226.41526015556497</v>
      </c>
      <c r="L466" s="81" t="str">
        <f t="shared" si="44"/>
        <v>WIN</v>
      </c>
      <c r="M466" s="242">
        <f>IF(COUNTA($F$6:$F$10)=5,(F467-F24)/F24,"")</f>
        <v>0.90943536064526453</v>
      </c>
      <c r="N466" s="238">
        <f t="shared" si="45"/>
        <v>1</v>
      </c>
      <c r="O466" s="14" t="str">
        <f t="shared" si="46"/>
        <v>new</v>
      </c>
      <c r="P466" s="14"/>
      <c r="Q466" s="14"/>
      <c r="R466" s="14"/>
      <c r="S466" s="14"/>
      <c r="T466" s="14"/>
      <c r="U466" s="14"/>
      <c r="V466" s="14"/>
      <c r="W466" s="39" t="str">
        <f>IF(AND(L466="WIN",L467&lt;&gt;"WIN"),SUMIF(L$24:L466,"WIN",K$24:K466)-SUM(W$23:W465),"")</f>
        <v/>
      </c>
      <c r="X466" s="41" t="str">
        <f>IF(AND(L466="LOSS",L467&lt;&gt;"LOSS"),SUMIF(L$24:L466,"LOSS",K$24:K466)-SUM(X$23:X465),"")</f>
        <v/>
      </c>
      <c r="Y466" s="8"/>
      <c r="Z466" s="85"/>
      <c r="AA466" s="85"/>
      <c r="AB466" s="85"/>
      <c r="AC466" s="85"/>
      <c r="AD466" s="85"/>
      <c r="AE466" s="85"/>
      <c r="AF466" s="85"/>
      <c r="AG466" s="85"/>
      <c r="AH466" s="85"/>
      <c r="AI466" s="85"/>
      <c r="AJ466" s="85"/>
      <c r="AK466" s="85"/>
      <c r="AL466" s="85"/>
      <c r="AM466" s="85"/>
      <c r="AN466" s="85"/>
      <c r="AO466" s="85"/>
      <c r="AP466" s="85"/>
      <c r="AQ466" s="85"/>
      <c r="AR466" s="85"/>
      <c r="AS466" s="85"/>
      <c r="AT466" s="85"/>
      <c r="AU466" s="85"/>
      <c r="AV466" s="85"/>
      <c r="AW466" s="85"/>
      <c r="AX466" s="85"/>
      <c r="AY466" s="85"/>
      <c r="AZ466" s="85"/>
      <c r="BA466" s="85"/>
    </row>
    <row r="467" spans="1:53" ht="15.75">
      <c r="A467" s="149"/>
      <c r="B467" s="305" t="s">
        <v>511</v>
      </c>
      <c r="C467" s="306"/>
      <c r="D467" s="271">
        <v>51</v>
      </c>
      <c r="E467" s="272"/>
      <c r="F467" s="278">
        <f t="shared" si="47"/>
        <v>19094.353606452645</v>
      </c>
      <c r="G467" s="279"/>
      <c r="H467" s="275">
        <f t="shared" si="43"/>
        <v>190.94353606452646</v>
      </c>
      <c r="I467" s="276"/>
      <c r="J467" s="277"/>
      <c r="K467" s="75">
        <f t="shared" si="48"/>
        <v>229.13224327743174</v>
      </c>
      <c r="L467" s="81" t="str">
        <f t="shared" si="44"/>
        <v>WIN</v>
      </c>
      <c r="M467" s="242">
        <f>IF(COUNTA($F$6:$F$10)=5,(F468-F24)/F24,"")</f>
        <v>0.93234858497300777</v>
      </c>
      <c r="N467" s="238">
        <f t="shared" si="45"/>
        <v>2</v>
      </c>
      <c r="O467" s="14" t="str">
        <f t="shared" si="46"/>
        <v>middle</v>
      </c>
      <c r="P467" s="14"/>
      <c r="Q467" s="14"/>
      <c r="R467" s="14"/>
      <c r="S467" s="14"/>
      <c r="T467" s="14"/>
      <c r="U467" s="14"/>
      <c r="V467" s="14"/>
      <c r="W467" s="39" t="str">
        <f>IF(AND(L467="WIN",L468&lt;&gt;"WIN"),SUMIF(L$24:L467,"WIN",K$24:K467)-SUM(W$23:W466),"")</f>
        <v/>
      </c>
      <c r="X467" s="41" t="str">
        <f>IF(AND(L467="LOSS",L468&lt;&gt;"LOSS"),SUMIF(L$24:L467,"LOSS",K$24:K467)-SUM(X$23:X466),"")</f>
        <v/>
      </c>
      <c r="Y467" s="8"/>
      <c r="Z467" s="85"/>
      <c r="AA467" s="85"/>
      <c r="AB467" s="85"/>
      <c r="AC467" s="85"/>
      <c r="AD467" s="85"/>
      <c r="AE467" s="85"/>
      <c r="AF467" s="85"/>
      <c r="AG467" s="85"/>
      <c r="AH467" s="85"/>
      <c r="AI467" s="85"/>
      <c r="AJ467" s="85"/>
      <c r="AK467" s="85"/>
      <c r="AL467" s="85"/>
      <c r="AM467" s="85"/>
      <c r="AN467" s="85"/>
      <c r="AO467" s="85"/>
      <c r="AP467" s="85"/>
      <c r="AQ467" s="85"/>
      <c r="AR467" s="85"/>
      <c r="AS467" s="85"/>
      <c r="AT467" s="85"/>
      <c r="AU467" s="85"/>
      <c r="AV467" s="85"/>
      <c r="AW467" s="85"/>
      <c r="AX467" s="85"/>
      <c r="AY467" s="85"/>
      <c r="AZ467" s="85"/>
      <c r="BA467" s="85"/>
    </row>
    <row r="468" spans="1:53" ht="15.75">
      <c r="A468" s="149"/>
      <c r="B468" s="305" t="s">
        <v>512</v>
      </c>
      <c r="C468" s="306"/>
      <c r="D468" s="271">
        <v>5</v>
      </c>
      <c r="E468" s="272"/>
      <c r="F468" s="278">
        <f t="shared" si="47"/>
        <v>19323.485849730077</v>
      </c>
      <c r="G468" s="279"/>
      <c r="H468" s="275">
        <f t="shared" si="43"/>
        <v>193.23485849730079</v>
      </c>
      <c r="I468" s="276"/>
      <c r="J468" s="277"/>
      <c r="K468" s="75">
        <f t="shared" si="48"/>
        <v>231.88183019676094</v>
      </c>
      <c r="L468" s="81" t="str">
        <f t="shared" si="44"/>
        <v>WIN</v>
      </c>
      <c r="M468" s="242">
        <f>IF(COUNTA($F$6:$F$10)=5,(F469-F24)/F24,"")</f>
        <v>0.95553676799268394</v>
      </c>
      <c r="N468" s="238">
        <f t="shared" si="45"/>
        <v>3</v>
      </c>
      <c r="O468" s="14" t="str">
        <f t="shared" si="46"/>
        <v>middle</v>
      </c>
      <c r="P468" s="14"/>
      <c r="Q468" s="14"/>
      <c r="R468" s="14"/>
      <c r="S468" s="14"/>
      <c r="T468" s="14"/>
      <c r="U468" s="14"/>
      <c r="V468" s="14"/>
      <c r="W468" s="39" t="str">
        <f>IF(AND(L468="WIN",L469&lt;&gt;"WIN"),SUMIF(L$24:L468,"WIN",K$24:K468)-SUM(W$23:W467),"")</f>
        <v/>
      </c>
      <c r="X468" s="41" t="str">
        <f>IF(AND(L468="LOSS",L469&lt;&gt;"LOSS"),SUMIF(L$24:L468,"LOSS",K$24:K468)-SUM(X$23:X467),"")</f>
        <v/>
      </c>
      <c r="Y468" s="8"/>
      <c r="Z468" s="85"/>
      <c r="AA468" s="85"/>
      <c r="AB468" s="85"/>
      <c r="AC468" s="85"/>
      <c r="AD468" s="85"/>
      <c r="AE468" s="85"/>
      <c r="AF468" s="85"/>
      <c r="AG468" s="85"/>
      <c r="AH468" s="85"/>
      <c r="AI468" s="85"/>
      <c r="AJ468" s="85"/>
      <c r="AK468" s="85"/>
      <c r="AL468" s="85"/>
      <c r="AM468" s="85"/>
      <c r="AN468" s="85"/>
      <c r="AO468" s="85"/>
      <c r="AP468" s="85"/>
      <c r="AQ468" s="85"/>
      <c r="AR468" s="85"/>
      <c r="AS468" s="85"/>
      <c r="AT468" s="85"/>
      <c r="AU468" s="85"/>
      <c r="AV468" s="85"/>
      <c r="AW468" s="85"/>
      <c r="AX468" s="85"/>
      <c r="AY468" s="85"/>
      <c r="AZ468" s="85"/>
      <c r="BA468" s="85"/>
    </row>
    <row r="469" spans="1:53" ht="15.75">
      <c r="A469" s="149"/>
      <c r="B469" s="305" t="s">
        <v>513</v>
      </c>
      <c r="C469" s="306"/>
      <c r="D469" s="271">
        <v>46</v>
      </c>
      <c r="E469" s="272"/>
      <c r="F469" s="278">
        <f t="shared" si="47"/>
        <v>19555.36767992684</v>
      </c>
      <c r="G469" s="279"/>
      <c r="H469" s="275">
        <f t="shared" si="43"/>
        <v>195.5536767992684</v>
      </c>
      <c r="I469" s="276"/>
      <c r="J469" s="277"/>
      <c r="K469" s="75">
        <f t="shared" si="48"/>
        <v>234.66441215912207</v>
      </c>
      <c r="L469" s="81" t="str">
        <f t="shared" si="44"/>
        <v>WIN</v>
      </c>
      <c r="M469" s="242">
        <f>IF(COUNTA($F$6:$F$10)=5,(F470-F24)/F24,"")</f>
        <v>0.97900320920859629</v>
      </c>
      <c r="N469" s="238">
        <f t="shared" si="45"/>
        <v>4</v>
      </c>
      <c r="O469" s="14" t="str">
        <f t="shared" si="46"/>
        <v>middle</v>
      </c>
      <c r="P469" s="14"/>
      <c r="Q469" s="14"/>
      <c r="R469" s="14"/>
      <c r="S469" s="14"/>
      <c r="T469" s="14"/>
      <c r="U469" s="14"/>
      <c r="V469" s="14"/>
      <c r="W469" s="39" t="str">
        <f>IF(AND(L469="WIN",L470&lt;&gt;"WIN"),SUMIF(L$24:L469,"WIN",K$24:K469)-SUM(W$23:W468),"")</f>
        <v/>
      </c>
      <c r="X469" s="41" t="str">
        <f>IF(AND(L469="LOSS",L470&lt;&gt;"LOSS"),SUMIF(L$24:L469,"LOSS",K$24:K469)-SUM(X$23:X468),"")</f>
        <v/>
      </c>
      <c r="Y469" s="8"/>
      <c r="Z469" s="85"/>
      <c r="AA469" s="85"/>
      <c r="AB469" s="85"/>
      <c r="AC469" s="85"/>
      <c r="AD469" s="85"/>
      <c r="AE469" s="85"/>
      <c r="AF469" s="85"/>
      <c r="AG469" s="85"/>
      <c r="AH469" s="85"/>
      <c r="AI469" s="85"/>
      <c r="AJ469" s="85"/>
      <c r="AK469" s="85"/>
      <c r="AL469" s="85"/>
      <c r="AM469" s="85"/>
      <c r="AN469" s="85"/>
      <c r="AO469" s="85"/>
      <c r="AP469" s="85"/>
      <c r="AQ469" s="85"/>
      <c r="AR469" s="85"/>
      <c r="AS469" s="85"/>
      <c r="AT469" s="85"/>
      <c r="AU469" s="85"/>
      <c r="AV469" s="85"/>
      <c r="AW469" s="85"/>
      <c r="AX469" s="85"/>
      <c r="AY469" s="85"/>
      <c r="AZ469" s="85"/>
      <c r="BA469" s="85"/>
    </row>
    <row r="470" spans="1:53" ht="15.75">
      <c r="A470" s="149"/>
      <c r="B470" s="305" t="s">
        <v>514</v>
      </c>
      <c r="C470" s="306"/>
      <c r="D470" s="271">
        <v>27</v>
      </c>
      <c r="E470" s="272"/>
      <c r="F470" s="278">
        <f t="shared" si="47"/>
        <v>19790.032092085963</v>
      </c>
      <c r="G470" s="279"/>
      <c r="H470" s="275">
        <f t="shared" si="43"/>
        <v>197.90032092085963</v>
      </c>
      <c r="I470" s="276"/>
      <c r="J470" s="277"/>
      <c r="K470" s="75">
        <f t="shared" si="48"/>
        <v>237.48038510503153</v>
      </c>
      <c r="L470" s="81" t="str">
        <f t="shared" si="44"/>
        <v>WIN</v>
      </c>
      <c r="M470" s="242">
        <f>IF(COUNTA($F$6:$F$10)=5,(F471-F24)/F24,"")</f>
        <v>1.0027512477190994</v>
      </c>
      <c r="N470" s="238">
        <f t="shared" si="45"/>
        <v>5</v>
      </c>
      <c r="O470" s="14" t="str">
        <f t="shared" si="46"/>
        <v>middle</v>
      </c>
      <c r="P470" s="14"/>
      <c r="Q470" s="14"/>
      <c r="R470" s="14"/>
      <c r="S470" s="14"/>
      <c r="T470" s="14"/>
      <c r="U470" s="14"/>
      <c r="V470" s="14"/>
      <c r="W470" s="39" t="str">
        <f>IF(AND(L470="WIN",L471&lt;&gt;"WIN"),SUMIF(L$24:L470,"WIN",K$24:K470)-SUM(W$23:W469),"")</f>
        <v/>
      </c>
      <c r="X470" s="41" t="str">
        <f>IF(AND(L470="LOSS",L471&lt;&gt;"LOSS"),SUMIF(L$24:L470,"LOSS",K$24:K470)-SUM(X$23:X469),"")</f>
        <v/>
      </c>
      <c r="Y470" s="8"/>
      <c r="Z470" s="85"/>
      <c r="AA470" s="85"/>
      <c r="AB470" s="85"/>
      <c r="AC470" s="85"/>
      <c r="AD470" s="85"/>
      <c r="AE470" s="85"/>
      <c r="AF470" s="85"/>
      <c r="AG470" s="85"/>
      <c r="AH470" s="85"/>
      <c r="AI470" s="85"/>
      <c r="AJ470" s="85"/>
      <c r="AK470" s="85"/>
      <c r="AL470" s="85"/>
      <c r="AM470" s="85"/>
      <c r="AN470" s="85"/>
      <c r="AO470" s="85"/>
      <c r="AP470" s="85"/>
      <c r="AQ470" s="85"/>
      <c r="AR470" s="85"/>
      <c r="AS470" s="85"/>
      <c r="AT470" s="85"/>
      <c r="AU470" s="85"/>
      <c r="AV470" s="85"/>
      <c r="AW470" s="85"/>
      <c r="AX470" s="85"/>
      <c r="AY470" s="85"/>
      <c r="AZ470" s="85"/>
      <c r="BA470" s="85"/>
    </row>
    <row r="471" spans="1:53" ht="15.75">
      <c r="A471" s="149"/>
      <c r="B471" s="305" t="s">
        <v>515</v>
      </c>
      <c r="C471" s="306"/>
      <c r="D471" s="271">
        <v>8</v>
      </c>
      <c r="E471" s="272"/>
      <c r="F471" s="278">
        <f t="shared" si="47"/>
        <v>20027.512477190994</v>
      </c>
      <c r="G471" s="279"/>
      <c r="H471" s="275">
        <f t="shared" si="43"/>
        <v>200.27512477190996</v>
      </c>
      <c r="I471" s="276"/>
      <c r="J471" s="277"/>
      <c r="K471" s="75">
        <f t="shared" si="48"/>
        <v>240.33014972629195</v>
      </c>
      <c r="L471" s="81" t="str">
        <f t="shared" si="44"/>
        <v>WIN</v>
      </c>
      <c r="M471" s="242">
        <f>IF(COUNTA($F$6:$F$10)=5,(F472-F24)/F24,"")</f>
        <v>1.0267842626917285</v>
      </c>
      <c r="N471" s="238">
        <f t="shared" si="45"/>
        <v>6</v>
      </c>
      <c r="O471" s="14" t="str">
        <f t="shared" si="46"/>
        <v>middle</v>
      </c>
      <c r="P471" s="14"/>
      <c r="Q471" s="14"/>
      <c r="R471" s="14"/>
      <c r="S471" s="14"/>
      <c r="T471" s="14"/>
      <c r="U471" s="14"/>
      <c r="V471" s="14"/>
      <c r="W471" s="39" t="str">
        <f>IF(AND(L471="WIN",L472&lt;&gt;"WIN"),SUMIF(L$24:L471,"WIN",K$24:K471)-SUM(W$23:W470),"")</f>
        <v/>
      </c>
      <c r="X471" s="41" t="str">
        <f>IF(AND(L471="LOSS",L472&lt;&gt;"LOSS"),SUMIF(L$24:L471,"LOSS",K$24:K471)-SUM(X$23:X470),"")</f>
        <v/>
      </c>
      <c r="Y471" s="8"/>
      <c r="Z471" s="85"/>
      <c r="AA471" s="85"/>
      <c r="AB471" s="85"/>
      <c r="AC471" s="85"/>
      <c r="AD471" s="85"/>
      <c r="AE471" s="85"/>
      <c r="AF471" s="85"/>
      <c r="AG471" s="85"/>
      <c r="AH471" s="85"/>
      <c r="AI471" s="85"/>
      <c r="AJ471" s="85"/>
      <c r="AK471" s="85"/>
      <c r="AL471" s="85"/>
      <c r="AM471" s="85"/>
      <c r="AN471" s="85"/>
      <c r="AO471" s="85"/>
      <c r="AP471" s="85"/>
      <c r="AQ471" s="85"/>
      <c r="AR471" s="85"/>
      <c r="AS471" s="85"/>
      <c r="AT471" s="85"/>
      <c r="AU471" s="85"/>
      <c r="AV471" s="85"/>
      <c r="AW471" s="85"/>
      <c r="AX471" s="85"/>
      <c r="AY471" s="85"/>
      <c r="AZ471" s="85"/>
      <c r="BA471" s="85"/>
    </row>
    <row r="472" spans="1:53" ht="15.75">
      <c r="A472" s="149"/>
      <c r="B472" s="305" t="s">
        <v>516</v>
      </c>
      <c r="C472" s="306"/>
      <c r="D472" s="271">
        <v>48</v>
      </c>
      <c r="E472" s="272"/>
      <c r="F472" s="278">
        <f t="shared" si="47"/>
        <v>20267.842626917285</v>
      </c>
      <c r="G472" s="279"/>
      <c r="H472" s="275">
        <f t="shared" si="43"/>
        <v>202.67842626917286</v>
      </c>
      <c r="I472" s="276"/>
      <c r="J472" s="277"/>
      <c r="K472" s="75">
        <f t="shared" si="48"/>
        <v>243.21411152300743</v>
      </c>
      <c r="L472" s="81" t="str">
        <f t="shared" si="44"/>
        <v>WIN</v>
      </c>
      <c r="M472" s="242">
        <f>IF(COUNTA($F$6:$F$10)=5,(F473-F24)/F24,"")</f>
        <v>1.0511056738440292</v>
      </c>
      <c r="N472" s="238">
        <f t="shared" si="45"/>
        <v>7</v>
      </c>
      <c r="O472" s="14" t="str">
        <f t="shared" si="46"/>
        <v>middle</v>
      </c>
      <c r="P472" s="14"/>
      <c r="Q472" s="14"/>
      <c r="R472" s="14"/>
      <c r="S472" s="14"/>
      <c r="T472" s="14"/>
      <c r="U472" s="14"/>
      <c r="V472" s="14"/>
      <c r="W472" s="39" t="str">
        <f>IF(AND(L472="WIN",L473&lt;&gt;"WIN"),SUMIF(L$24:L472,"WIN",K$24:K472)-SUM(W$23:W471),"")</f>
        <v/>
      </c>
      <c r="X472" s="41" t="str">
        <f>IF(AND(L472="LOSS",L473&lt;&gt;"LOSS"),SUMIF(L$24:L472,"LOSS",K$24:K472)-SUM(X$23:X471),"")</f>
        <v/>
      </c>
      <c r="Y472" s="8"/>
      <c r="Z472" s="85"/>
      <c r="AA472" s="85"/>
      <c r="AB472" s="85"/>
      <c r="AC472" s="85"/>
      <c r="AD472" s="85"/>
      <c r="AE472" s="85"/>
      <c r="AF472" s="85"/>
      <c r="AG472" s="85"/>
      <c r="AH472" s="85"/>
      <c r="AI472" s="85"/>
      <c r="AJ472" s="85"/>
      <c r="AK472" s="85"/>
      <c r="AL472" s="85"/>
      <c r="AM472" s="85"/>
      <c r="AN472" s="85"/>
      <c r="AO472" s="85"/>
      <c r="AP472" s="85"/>
      <c r="AQ472" s="85"/>
      <c r="AR472" s="85"/>
      <c r="AS472" s="85"/>
      <c r="AT472" s="85"/>
      <c r="AU472" s="85"/>
      <c r="AV472" s="85"/>
      <c r="AW472" s="85"/>
      <c r="AX472" s="85"/>
      <c r="AY472" s="85"/>
      <c r="AZ472" s="85"/>
      <c r="BA472" s="85"/>
    </row>
    <row r="473" spans="1:53" ht="15.75">
      <c r="A473" s="149"/>
      <c r="B473" s="305" t="s">
        <v>517</v>
      </c>
      <c r="C473" s="306"/>
      <c r="D473" s="271">
        <v>49</v>
      </c>
      <c r="E473" s="272"/>
      <c r="F473" s="278">
        <f t="shared" si="47"/>
        <v>20511.056738440293</v>
      </c>
      <c r="G473" s="279"/>
      <c r="H473" s="275">
        <f t="shared" ref="H473:H523" si="49">IF(COUNTBLANK($F$6:$F$10),"",F473*$F$7)</f>
        <v>205.11056738440294</v>
      </c>
      <c r="I473" s="276"/>
      <c r="J473" s="277"/>
      <c r="K473" s="75">
        <f t="shared" si="48"/>
        <v>246.13268086128352</v>
      </c>
      <c r="L473" s="81" t="str">
        <f t="shared" ref="L473:L523" si="50">IF(D473="","",IF(D473&lt;$F$8,"WIN","LOSS"))</f>
        <v>WIN</v>
      </c>
      <c r="M473" s="242">
        <f>IF(COUNTA($F$6:$F$10)=5,(F474-F24)/F24,"")</f>
        <v>1.0757189419301576</v>
      </c>
      <c r="N473" s="238">
        <f t="shared" ref="N473:N523" si="51">IF(L473=L472,N472+1,1)</f>
        <v>8</v>
      </c>
      <c r="O473" s="14" t="str">
        <f t="shared" ref="O473:O523" si="52">IF(N473=1,IF(N474=1,"last","new"),IF(N474=1,"last","middle"))</f>
        <v>last</v>
      </c>
      <c r="P473" s="14"/>
      <c r="Q473" s="14"/>
      <c r="R473" s="14"/>
      <c r="S473" s="14"/>
      <c r="T473" s="14"/>
      <c r="U473" s="14"/>
      <c r="V473" s="14"/>
      <c r="W473" s="39">
        <f>IF(AND(L473="WIN",L474&lt;&gt;"WIN"),SUMIF(L$24:L473,"WIN",K$24:K473)-SUM(W$23:W472),"")</f>
        <v>1889.251073004496</v>
      </c>
      <c r="X473" s="41" t="str">
        <f>IF(AND(L473="LOSS",L474&lt;&gt;"LOSS"),SUMIF(L$24:L473,"LOSS",K$24:K473)-SUM(X$23:X472),"")</f>
        <v/>
      </c>
      <c r="Y473" s="8"/>
      <c r="Z473" s="85"/>
      <c r="AA473" s="85"/>
      <c r="AB473" s="85"/>
      <c r="AC473" s="85"/>
      <c r="AD473" s="85"/>
      <c r="AE473" s="85"/>
      <c r="AF473" s="85"/>
      <c r="AG473" s="85"/>
      <c r="AH473" s="85"/>
      <c r="AI473" s="85"/>
      <c r="AJ473" s="85"/>
      <c r="AK473" s="85"/>
      <c r="AL473" s="85"/>
      <c r="AM473" s="85"/>
      <c r="AN473" s="85"/>
      <c r="AO473" s="85"/>
      <c r="AP473" s="85"/>
      <c r="AQ473" s="85"/>
      <c r="AR473" s="85"/>
      <c r="AS473" s="85"/>
      <c r="AT473" s="85"/>
      <c r="AU473" s="85"/>
      <c r="AV473" s="85"/>
      <c r="AW473" s="85"/>
      <c r="AX473" s="85"/>
      <c r="AY473" s="85"/>
      <c r="AZ473" s="85"/>
      <c r="BA473" s="85"/>
    </row>
    <row r="474" spans="1:53" ht="15.75">
      <c r="A474" s="149"/>
      <c r="B474" s="305" t="s">
        <v>518</v>
      </c>
      <c r="C474" s="306"/>
      <c r="D474" s="271">
        <v>56</v>
      </c>
      <c r="E474" s="272"/>
      <c r="F474" s="278">
        <f t="shared" ref="F474:F523" si="53">IF(COUNTBLANK($F$6:$F$10),"",IF(D473&lt;$F$8,(1+$F$7*$F$9)*F473-$F$10,(1-$F$7)*F473-$F$10))</f>
        <v>20757.189419301576</v>
      </c>
      <c r="G474" s="279"/>
      <c r="H474" s="275">
        <f t="shared" si="49"/>
        <v>207.57189419301577</v>
      </c>
      <c r="I474" s="276"/>
      <c r="J474" s="277"/>
      <c r="K474" s="75">
        <f t="shared" ref="K474:K523" si="54">IF(COUNTBLANK($F$6:$F$10),"", IF(L474="win", H474*$F$9-$F$10, IF(L474="loss", -H474-$F$10)))</f>
        <v>-207.57189419301577</v>
      </c>
      <c r="L474" s="81" t="str">
        <f t="shared" si="50"/>
        <v>LOSS</v>
      </c>
      <c r="M474" s="242">
        <f>IF(COUNTA($F$6:$F$10)=5,(F475-F24)/F24,"")</f>
        <v>1.0549617525108559</v>
      </c>
      <c r="N474" s="238">
        <f t="shared" si="51"/>
        <v>1</v>
      </c>
      <c r="O474" s="14" t="str">
        <f t="shared" si="52"/>
        <v>last</v>
      </c>
      <c r="P474" s="14"/>
      <c r="Q474" s="14"/>
      <c r="R474" s="14"/>
      <c r="S474" s="14"/>
      <c r="T474" s="14"/>
      <c r="U474" s="14"/>
      <c r="V474" s="14"/>
      <c r="W474" s="39" t="str">
        <f>IF(AND(L474="WIN",L475&lt;&gt;"WIN"),SUMIF(L$24:L474,"WIN",K$24:K474)-SUM(W$23:W473),"")</f>
        <v/>
      </c>
      <c r="X474" s="41">
        <f>IF(AND(L474="LOSS",L475&lt;&gt;"LOSS"),SUMIF(L$24:L474,"LOSS",K$24:K474)-SUM(X$23:X473),"")</f>
        <v>-207.57189419301722</v>
      </c>
      <c r="Y474" s="8"/>
      <c r="Z474" s="85"/>
      <c r="AA474" s="85"/>
      <c r="AB474" s="85"/>
      <c r="AC474" s="85"/>
      <c r="AD474" s="85"/>
      <c r="AE474" s="85"/>
      <c r="AF474" s="85"/>
      <c r="AG474" s="85"/>
      <c r="AH474" s="85"/>
      <c r="AI474" s="85"/>
      <c r="AJ474" s="85"/>
      <c r="AK474" s="85"/>
      <c r="AL474" s="85"/>
      <c r="AM474" s="85"/>
      <c r="AN474" s="85"/>
      <c r="AO474" s="85"/>
      <c r="AP474" s="85"/>
      <c r="AQ474" s="85"/>
      <c r="AR474" s="85"/>
      <c r="AS474" s="85"/>
      <c r="AT474" s="85"/>
      <c r="AU474" s="85"/>
      <c r="AV474" s="85"/>
      <c r="AW474" s="85"/>
      <c r="AX474" s="85"/>
      <c r="AY474" s="85"/>
      <c r="AZ474" s="85"/>
      <c r="BA474" s="85"/>
    </row>
    <row r="475" spans="1:53" ht="15.75">
      <c r="A475" s="149"/>
      <c r="B475" s="305" t="s">
        <v>519</v>
      </c>
      <c r="C475" s="306"/>
      <c r="D475" s="271">
        <v>16</v>
      </c>
      <c r="E475" s="272"/>
      <c r="F475" s="278">
        <f t="shared" si="53"/>
        <v>20549.617525108559</v>
      </c>
      <c r="G475" s="279"/>
      <c r="H475" s="275">
        <f t="shared" si="49"/>
        <v>205.49617525108559</v>
      </c>
      <c r="I475" s="276"/>
      <c r="J475" s="277"/>
      <c r="K475" s="75">
        <f t="shared" si="54"/>
        <v>246.59541030130271</v>
      </c>
      <c r="L475" s="81" t="str">
        <f t="shared" si="50"/>
        <v>WIN</v>
      </c>
      <c r="M475" s="242">
        <f>IF(COUNTA($F$6:$F$10)=5,(F476-F24)/F24,"")</f>
        <v>1.0796212935409861</v>
      </c>
      <c r="N475" s="238">
        <f t="shared" si="51"/>
        <v>1</v>
      </c>
      <c r="O475" s="14" t="str">
        <f t="shared" si="52"/>
        <v>last</v>
      </c>
      <c r="P475" s="14"/>
      <c r="Q475" s="14"/>
      <c r="R475" s="14"/>
      <c r="S475" s="14"/>
      <c r="T475" s="14"/>
      <c r="U475" s="14"/>
      <c r="V475" s="14"/>
      <c r="W475" s="39">
        <f>IF(AND(L475="WIN",L476&lt;&gt;"WIN"),SUMIF(L$24:L475,"WIN",K$24:K475)-SUM(W$23:W474),"")</f>
        <v>246.59541030129913</v>
      </c>
      <c r="X475" s="41" t="str">
        <f>IF(AND(L475="LOSS",L476&lt;&gt;"LOSS"),SUMIF(L$24:L475,"LOSS",K$24:K475)-SUM(X$23:X474),"")</f>
        <v/>
      </c>
      <c r="Y475" s="8"/>
      <c r="Z475" s="85"/>
      <c r="AA475" s="85"/>
      <c r="AB475" s="85"/>
      <c r="AC475" s="85"/>
      <c r="AD475" s="85"/>
      <c r="AE475" s="85"/>
      <c r="AF475" s="85"/>
      <c r="AG475" s="85"/>
      <c r="AH475" s="85"/>
      <c r="AI475" s="85"/>
      <c r="AJ475" s="85"/>
      <c r="AK475" s="85"/>
      <c r="AL475" s="85"/>
      <c r="AM475" s="85"/>
      <c r="AN475" s="85"/>
      <c r="AO475" s="85"/>
      <c r="AP475" s="85"/>
      <c r="AQ475" s="85"/>
      <c r="AR475" s="85"/>
      <c r="AS475" s="85"/>
      <c r="AT475" s="85"/>
      <c r="AU475" s="85"/>
      <c r="AV475" s="85"/>
      <c r="AW475" s="85"/>
      <c r="AX475" s="85"/>
      <c r="AY475" s="85"/>
      <c r="AZ475" s="85"/>
      <c r="BA475" s="85"/>
    </row>
    <row r="476" spans="1:53" ht="15.75">
      <c r="A476" s="149"/>
      <c r="B476" s="305" t="s">
        <v>520</v>
      </c>
      <c r="C476" s="306"/>
      <c r="D476" s="271">
        <v>68</v>
      </c>
      <c r="E476" s="272"/>
      <c r="F476" s="278">
        <f t="shared" si="53"/>
        <v>20796.212935409862</v>
      </c>
      <c r="G476" s="279"/>
      <c r="H476" s="275">
        <f t="shared" si="49"/>
        <v>207.96212935409861</v>
      </c>
      <c r="I476" s="276"/>
      <c r="J476" s="277"/>
      <c r="K476" s="75">
        <f t="shared" si="54"/>
        <v>-207.96212935409861</v>
      </c>
      <c r="L476" s="81" t="str">
        <f t="shared" si="50"/>
        <v>LOSS</v>
      </c>
      <c r="M476" s="242">
        <f>IF(COUNTA($F$6:$F$10)=5,(F477-F24)/F24,"")</f>
        <v>1.0588250806055763</v>
      </c>
      <c r="N476" s="238">
        <f t="shared" si="51"/>
        <v>1</v>
      </c>
      <c r="O476" s="14" t="str">
        <f t="shared" si="52"/>
        <v>new</v>
      </c>
      <c r="P476" s="14"/>
      <c r="Q476" s="14"/>
      <c r="R476" s="14"/>
      <c r="S476" s="14"/>
      <c r="T476" s="14"/>
      <c r="U476" s="14"/>
      <c r="V476" s="14"/>
      <c r="W476" s="39" t="str">
        <f>IF(AND(L476="WIN",L477&lt;&gt;"WIN"),SUMIF(L$24:L476,"WIN",K$24:K476)-SUM(W$23:W475),"")</f>
        <v/>
      </c>
      <c r="X476" s="41" t="str">
        <f>IF(AND(L476="LOSS",L477&lt;&gt;"LOSS"),SUMIF(L$24:L476,"LOSS",K$24:K476)-SUM(X$23:X475),"")</f>
        <v/>
      </c>
      <c r="Y476" s="8"/>
      <c r="Z476" s="85"/>
      <c r="AA476" s="85"/>
      <c r="AB476" s="85"/>
      <c r="AC476" s="85"/>
      <c r="AD476" s="85"/>
      <c r="AE476" s="85"/>
      <c r="AF476" s="85"/>
      <c r="AG476" s="85"/>
      <c r="AH476" s="85"/>
      <c r="AI476" s="85"/>
      <c r="AJ476" s="85"/>
      <c r="AK476" s="85"/>
      <c r="AL476" s="85"/>
      <c r="AM476" s="85"/>
      <c r="AN476" s="85"/>
      <c r="AO476" s="85"/>
      <c r="AP476" s="85"/>
      <c r="AQ476" s="85"/>
      <c r="AR476" s="85"/>
      <c r="AS476" s="85"/>
      <c r="AT476" s="85"/>
      <c r="AU476" s="85"/>
      <c r="AV476" s="85"/>
      <c r="AW476" s="85"/>
      <c r="AX476" s="85"/>
      <c r="AY476" s="85"/>
      <c r="AZ476" s="85"/>
      <c r="BA476" s="85"/>
    </row>
    <row r="477" spans="1:53" ht="15.75">
      <c r="A477" s="149"/>
      <c r="B477" s="305" t="s">
        <v>521</v>
      </c>
      <c r="C477" s="306"/>
      <c r="D477" s="271">
        <v>60</v>
      </c>
      <c r="E477" s="272"/>
      <c r="F477" s="278">
        <f t="shared" si="53"/>
        <v>20588.250806055763</v>
      </c>
      <c r="G477" s="279"/>
      <c r="H477" s="275">
        <f t="shared" si="49"/>
        <v>205.88250806055763</v>
      </c>
      <c r="I477" s="276"/>
      <c r="J477" s="277"/>
      <c r="K477" s="75">
        <f t="shared" si="54"/>
        <v>-205.88250806055763</v>
      </c>
      <c r="L477" s="81" t="str">
        <f t="shared" si="50"/>
        <v>LOSS</v>
      </c>
      <c r="M477" s="242">
        <f>IF(COUNTA($F$6:$F$10)=5,(F478-F24)/F24,"")</f>
        <v>1.0382368297995206</v>
      </c>
      <c r="N477" s="238">
        <f t="shared" si="51"/>
        <v>2</v>
      </c>
      <c r="O477" s="14" t="str">
        <f t="shared" si="52"/>
        <v>last</v>
      </c>
      <c r="P477" s="14"/>
      <c r="Q477" s="14"/>
      <c r="R477" s="14"/>
      <c r="S477" s="14"/>
      <c r="T477" s="14"/>
      <c r="U477" s="14"/>
      <c r="V477" s="14"/>
      <c r="W477" s="39" t="str">
        <f>IF(AND(L477="WIN",L478&lt;&gt;"WIN"),SUMIF(L$24:L477,"WIN",K$24:K477)-SUM(W$23:W476),"")</f>
        <v/>
      </c>
      <c r="X477" s="41">
        <f>IF(AND(L477="LOSS",L478&lt;&gt;"LOSS"),SUMIF(L$24:L477,"LOSS",K$24:K477)-SUM(X$23:X476),"")</f>
        <v>-413.84463741465515</v>
      </c>
      <c r="Y477" s="8"/>
      <c r="Z477" s="85"/>
      <c r="AA477" s="85"/>
      <c r="AB477" s="85"/>
      <c r="AC477" s="85"/>
      <c r="AD477" s="85"/>
      <c r="AE477" s="85"/>
      <c r="AF477" s="85"/>
      <c r="AG477" s="85"/>
      <c r="AH477" s="85"/>
      <c r="AI477" s="85"/>
      <c r="AJ477" s="85"/>
      <c r="AK477" s="85"/>
      <c r="AL477" s="85"/>
      <c r="AM477" s="85"/>
      <c r="AN477" s="85"/>
      <c r="AO477" s="85"/>
      <c r="AP477" s="85"/>
      <c r="AQ477" s="85"/>
      <c r="AR477" s="85"/>
      <c r="AS477" s="85"/>
      <c r="AT477" s="85"/>
      <c r="AU477" s="85"/>
      <c r="AV477" s="85"/>
      <c r="AW477" s="85"/>
      <c r="AX477" s="85"/>
      <c r="AY477" s="85"/>
      <c r="AZ477" s="85"/>
      <c r="BA477" s="85"/>
    </row>
    <row r="478" spans="1:53" ht="15.75">
      <c r="A478" s="149"/>
      <c r="B478" s="305" t="s">
        <v>522</v>
      </c>
      <c r="C478" s="306"/>
      <c r="D478" s="271">
        <v>44</v>
      </c>
      <c r="E478" s="272"/>
      <c r="F478" s="278">
        <f t="shared" si="53"/>
        <v>20382.368297995206</v>
      </c>
      <c r="G478" s="279"/>
      <c r="H478" s="275">
        <f t="shared" si="49"/>
        <v>203.82368297995208</v>
      </c>
      <c r="I478" s="276"/>
      <c r="J478" s="277"/>
      <c r="K478" s="75">
        <f t="shared" si="54"/>
        <v>244.58841957594248</v>
      </c>
      <c r="L478" s="81" t="str">
        <f t="shared" si="50"/>
        <v>WIN</v>
      </c>
      <c r="M478" s="242">
        <f>IF(COUNTA($F$6:$F$10)=5,(F479-F24)/F24,"")</f>
        <v>1.062695671757115</v>
      </c>
      <c r="N478" s="238">
        <f t="shared" si="51"/>
        <v>1</v>
      </c>
      <c r="O478" s="14" t="str">
        <f t="shared" si="52"/>
        <v>new</v>
      </c>
      <c r="P478" s="14"/>
      <c r="Q478" s="14"/>
      <c r="R478" s="14"/>
      <c r="S478" s="14"/>
      <c r="T478" s="14"/>
      <c r="U478" s="14"/>
      <c r="V478" s="14"/>
      <c r="W478" s="39" t="str">
        <f>IF(AND(L478="WIN",L479&lt;&gt;"WIN"),SUMIF(L$24:L478,"WIN",K$24:K478)-SUM(W$23:W477),"")</f>
        <v/>
      </c>
      <c r="X478" s="41" t="str">
        <f>IF(AND(L478="LOSS",L479&lt;&gt;"LOSS"),SUMIF(L$24:L478,"LOSS",K$24:K478)-SUM(X$23:X477),"")</f>
        <v/>
      </c>
      <c r="Y478" s="8"/>
      <c r="Z478" s="85"/>
      <c r="AA478" s="85"/>
      <c r="AB478" s="85"/>
      <c r="AC478" s="85"/>
      <c r="AD478" s="85"/>
      <c r="AE478" s="85"/>
      <c r="AF478" s="85"/>
      <c r="AG478" s="85"/>
      <c r="AH478" s="85"/>
      <c r="AI478" s="85"/>
      <c r="AJ478" s="85"/>
      <c r="AK478" s="85"/>
      <c r="AL478" s="85"/>
      <c r="AM478" s="85"/>
      <c r="AN478" s="85"/>
      <c r="AO478" s="85"/>
      <c r="AP478" s="85"/>
      <c r="AQ478" s="85"/>
      <c r="AR478" s="85"/>
      <c r="AS478" s="85"/>
      <c r="AT478" s="85"/>
      <c r="AU478" s="85"/>
      <c r="AV478" s="85"/>
      <c r="AW478" s="85"/>
      <c r="AX478" s="85"/>
      <c r="AY478" s="85"/>
      <c r="AZ478" s="85"/>
      <c r="BA478" s="85"/>
    </row>
    <row r="479" spans="1:53" ht="15.75">
      <c r="A479" s="149"/>
      <c r="B479" s="305" t="s">
        <v>523</v>
      </c>
      <c r="C479" s="306"/>
      <c r="D479" s="271">
        <v>8</v>
      </c>
      <c r="E479" s="272"/>
      <c r="F479" s="278">
        <f t="shared" si="53"/>
        <v>20626.956717571149</v>
      </c>
      <c r="G479" s="279"/>
      <c r="H479" s="275">
        <f t="shared" si="49"/>
        <v>206.2695671757115</v>
      </c>
      <c r="I479" s="276"/>
      <c r="J479" s="277"/>
      <c r="K479" s="75">
        <f t="shared" si="54"/>
        <v>247.5234806108538</v>
      </c>
      <c r="L479" s="81" t="str">
        <f t="shared" si="50"/>
        <v>WIN</v>
      </c>
      <c r="M479" s="242">
        <f>IF(COUNTA($F$6:$F$10)=5,(F480-F24)/F24,"")</f>
        <v>1.0874480198182002</v>
      </c>
      <c r="N479" s="238">
        <f t="shared" si="51"/>
        <v>2</v>
      </c>
      <c r="O479" s="14" t="str">
        <f t="shared" si="52"/>
        <v>middle</v>
      </c>
      <c r="P479" s="14"/>
      <c r="Q479" s="14"/>
      <c r="R479" s="14"/>
      <c r="S479" s="14"/>
      <c r="T479" s="14"/>
      <c r="U479" s="14"/>
      <c r="V479" s="14"/>
      <c r="W479" s="39" t="str">
        <f>IF(AND(L479="WIN",L480&lt;&gt;"WIN"),SUMIF(L$24:L479,"WIN",K$24:K479)-SUM(W$23:W478),"")</f>
        <v/>
      </c>
      <c r="X479" s="41" t="str">
        <f>IF(AND(L479="LOSS",L480&lt;&gt;"LOSS"),SUMIF(L$24:L479,"LOSS",K$24:K479)-SUM(X$23:X478),"")</f>
        <v/>
      </c>
      <c r="Y479" s="8"/>
      <c r="Z479" s="85"/>
      <c r="AA479" s="85"/>
      <c r="AB479" s="85"/>
      <c r="AC479" s="85"/>
      <c r="AD479" s="85"/>
      <c r="AE479" s="85"/>
      <c r="AF479" s="85"/>
      <c r="AG479" s="85"/>
      <c r="AH479" s="85"/>
      <c r="AI479" s="85"/>
      <c r="AJ479" s="85"/>
      <c r="AK479" s="85"/>
      <c r="AL479" s="85"/>
      <c r="AM479" s="85"/>
      <c r="AN479" s="85"/>
      <c r="AO479" s="85"/>
      <c r="AP479" s="85"/>
      <c r="AQ479" s="85"/>
      <c r="AR479" s="85"/>
      <c r="AS479" s="85"/>
      <c r="AT479" s="85"/>
      <c r="AU479" s="85"/>
      <c r="AV479" s="85"/>
      <c r="AW479" s="85"/>
      <c r="AX479" s="85"/>
      <c r="AY479" s="85"/>
      <c r="AZ479" s="85"/>
      <c r="BA479" s="85"/>
    </row>
    <row r="480" spans="1:53" ht="15.75">
      <c r="A480" s="149"/>
      <c r="B480" s="305" t="s">
        <v>524</v>
      </c>
      <c r="C480" s="306"/>
      <c r="D480" s="271">
        <v>6</v>
      </c>
      <c r="E480" s="272"/>
      <c r="F480" s="278">
        <f t="shared" si="53"/>
        <v>20874.480198182002</v>
      </c>
      <c r="G480" s="279"/>
      <c r="H480" s="275">
        <f t="shared" si="49"/>
        <v>208.74480198182002</v>
      </c>
      <c r="I480" s="276"/>
      <c r="J480" s="277"/>
      <c r="K480" s="75">
        <f t="shared" si="54"/>
        <v>250.49376237818402</v>
      </c>
      <c r="L480" s="81" t="str">
        <f t="shared" si="50"/>
        <v>WIN</v>
      </c>
      <c r="M480" s="242">
        <f>IF(COUNTA($F$6:$F$10)=5,(F481-F24)/F24,"")</f>
        <v>1.1124973960560187</v>
      </c>
      <c r="N480" s="238">
        <f t="shared" si="51"/>
        <v>3</v>
      </c>
      <c r="O480" s="14" t="str">
        <f t="shared" si="52"/>
        <v>last</v>
      </c>
      <c r="P480" s="14"/>
      <c r="Q480" s="14"/>
      <c r="R480" s="14"/>
      <c r="S480" s="14"/>
      <c r="T480" s="14"/>
      <c r="U480" s="14"/>
      <c r="V480" s="14"/>
      <c r="W480" s="39">
        <f>IF(AND(L480="WIN",L481&lt;&gt;"WIN"),SUMIF(L$24:L480,"WIN",K$24:K480)-SUM(W$23:W479),"")</f>
        <v>742.60566256497987</v>
      </c>
      <c r="X480" s="41" t="str">
        <f>IF(AND(L480="LOSS",L481&lt;&gt;"LOSS"),SUMIF(L$24:L480,"LOSS",K$24:K480)-SUM(X$23:X479),"")</f>
        <v/>
      </c>
      <c r="Y480" s="8"/>
      <c r="Z480" s="85"/>
      <c r="AA480" s="85"/>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c r="AZ480" s="85"/>
      <c r="BA480" s="85"/>
    </row>
    <row r="481" spans="1:53" ht="15.75">
      <c r="A481" s="149"/>
      <c r="B481" s="305" t="s">
        <v>525</v>
      </c>
      <c r="C481" s="306"/>
      <c r="D481" s="271">
        <v>99</v>
      </c>
      <c r="E481" s="272"/>
      <c r="F481" s="278">
        <f t="shared" si="53"/>
        <v>21124.973960560186</v>
      </c>
      <c r="G481" s="279"/>
      <c r="H481" s="275">
        <f t="shared" si="49"/>
        <v>211.24973960560186</v>
      </c>
      <c r="I481" s="276"/>
      <c r="J481" s="277"/>
      <c r="K481" s="75">
        <f t="shared" si="54"/>
        <v>-211.24973960560186</v>
      </c>
      <c r="L481" s="81" t="str">
        <f t="shared" si="50"/>
        <v>LOSS</v>
      </c>
      <c r="M481" s="242">
        <f>IF(COUNTA($F$6:$F$10)=5,(F482-F24)/F24,"")</f>
        <v>1.0913724220954584</v>
      </c>
      <c r="N481" s="238">
        <f t="shared" si="51"/>
        <v>1</v>
      </c>
      <c r="O481" s="14" t="str">
        <f t="shared" si="52"/>
        <v>last</v>
      </c>
      <c r="P481" s="14"/>
      <c r="Q481" s="14"/>
      <c r="R481" s="14"/>
      <c r="S481" s="14"/>
      <c r="T481" s="14"/>
      <c r="U481" s="14"/>
      <c r="V481" s="14"/>
      <c r="W481" s="39" t="str">
        <f>IF(AND(L481="WIN",L482&lt;&gt;"WIN"),SUMIF(L$24:L481,"WIN",K$24:K481)-SUM(W$23:W480),"")</f>
        <v/>
      </c>
      <c r="X481" s="41">
        <f>IF(AND(L481="LOSS",L482&lt;&gt;"LOSS"),SUMIF(L$24:L481,"LOSS",K$24:K481)-SUM(X$23:X480),"")</f>
        <v>-211.24973960560237</v>
      </c>
      <c r="Y481" s="8"/>
      <c r="Z481" s="85"/>
      <c r="AA481" s="85"/>
      <c r="AB481" s="85"/>
      <c r="AC481" s="85"/>
      <c r="AD481" s="85"/>
      <c r="AE481" s="85"/>
      <c r="AF481" s="85"/>
      <c r="AG481" s="85"/>
      <c r="AH481" s="85"/>
      <c r="AI481" s="85"/>
      <c r="AJ481" s="85"/>
      <c r="AK481" s="85"/>
      <c r="AL481" s="85"/>
      <c r="AM481" s="85"/>
      <c r="AN481" s="85"/>
      <c r="AO481" s="85"/>
      <c r="AP481" s="85"/>
      <c r="AQ481" s="85"/>
      <c r="AR481" s="85"/>
      <c r="AS481" s="85"/>
      <c r="AT481" s="85"/>
      <c r="AU481" s="85"/>
      <c r="AV481" s="85"/>
      <c r="AW481" s="85"/>
      <c r="AX481" s="85"/>
      <c r="AY481" s="85"/>
      <c r="AZ481" s="85"/>
      <c r="BA481" s="85"/>
    </row>
    <row r="482" spans="1:53" ht="15.75">
      <c r="A482" s="149"/>
      <c r="B482" s="305" t="s">
        <v>526</v>
      </c>
      <c r="C482" s="306"/>
      <c r="D482" s="271">
        <v>16</v>
      </c>
      <c r="E482" s="272"/>
      <c r="F482" s="278">
        <f t="shared" si="53"/>
        <v>20913.724220954584</v>
      </c>
      <c r="G482" s="279"/>
      <c r="H482" s="275">
        <f t="shared" si="49"/>
        <v>209.13724220954583</v>
      </c>
      <c r="I482" s="276"/>
      <c r="J482" s="277"/>
      <c r="K482" s="75">
        <f t="shared" si="54"/>
        <v>250.96469065145499</v>
      </c>
      <c r="L482" s="81" t="str">
        <f t="shared" si="50"/>
        <v>WIN</v>
      </c>
      <c r="M482" s="242">
        <f>IF(COUNTA($F$6:$F$10)=5,(F483-F24)/F24,"")</f>
        <v>1.1164688911606038</v>
      </c>
      <c r="N482" s="238">
        <f t="shared" si="51"/>
        <v>1</v>
      </c>
      <c r="O482" s="14" t="str">
        <f t="shared" si="52"/>
        <v>new</v>
      </c>
      <c r="P482" s="14"/>
      <c r="Q482" s="14"/>
      <c r="R482" s="14"/>
      <c r="S482" s="14"/>
      <c r="T482" s="14"/>
      <c r="U482" s="14"/>
      <c r="V482" s="14"/>
      <c r="W482" s="39" t="str">
        <f>IF(AND(L482="WIN",L483&lt;&gt;"WIN"),SUMIF(L$24:L482,"WIN",K$24:K482)-SUM(W$23:W481),"")</f>
        <v/>
      </c>
      <c r="X482" s="41" t="str">
        <f>IF(AND(L482="LOSS",L483&lt;&gt;"LOSS"),SUMIF(L$24:L482,"LOSS",K$24:K482)-SUM(X$23:X481),"")</f>
        <v/>
      </c>
      <c r="Y482" s="8"/>
      <c r="Z482" s="85"/>
      <c r="AA482" s="85"/>
      <c r="AB482" s="85"/>
      <c r="AC482" s="85"/>
      <c r="AD482" s="85"/>
      <c r="AE482" s="85"/>
      <c r="AF482" s="85"/>
      <c r="AG482" s="85"/>
      <c r="AH482" s="85"/>
      <c r="AI482" s="85"/>
      <c r="AJ482" s="85"/>
      <c r="AK482" s="85"/>
      <c r="AL482" s="85"/>
      <c r="AM482" s="85"/>
      <c r="AN482" s="85"/>
      <c r="AO482" s="85"/>
      <c r="AP482" s="85"/>
      <c r="AQ482" s="85"/>
      <c r="AR482" s="85"/>
      <c r="AS482" s="85"/>
      <c r="AT482" s="85"/>
      <c r="AU482" s="85"/>
      <c r="AV482" s="85"/>
      <c r="AW482" s="85"/>
      <c r="AX482" s="85"/>
      <c r="AY482" s="85"/>
      <c r="AZ482" s="85"/>
      <c r="BA482" s="85"/>
    </row>
    <row r="483" spans="1:53" ht="15.75">
      <c r="A483" s="149"/>
      <c r="B483" s="305" t="s">
        <v>527</v>
      </c>
      <c r="C483" s="306"/>
      <c r="D483" s="271">
        <v>46</v>
      </c>
      <c r="E483" s="272"/>
      <c r="F483" s="278">
        <f t="shared" si="53"/>
        <v>21164.688911606037</v>
      </c>
      <c r="G483" s="279"/>
      <c r="H483" s="275">
        <f t="shared" si="49"/>
        <v>211.64688911606038</v>
      </c>
      <c r="I483" s="276"/>
      <c r="J483" s="277"/>
      <c r="K483" s="75">
        <f t="shared" si="54"/>
        <v>253.97626693927245</v>
      </c>
      <c r="L483" s="81" t="str">
        <f t="shared" si="50"/>
        <v>WIN</v>
      </c>
      <c r="M483" s="242">
        <f>IF(COUNTA($F$6:$F$10)=5,(F484-F24)/F24,"")</f>
        <v>1.1418665178545311</v>
      </c>
      <c r="N483" s="238">
        <f t="shared" si="51"/>
        <v>2</v>
      </c>
      <c r="O483" s="14" t="str">
        <f t="shared" si="52"/>
        <v>middle</v>
      </c>
      <c r="P483" s="14"/>
      <c r="Q483" s="14"/>
      <c r="R483" s="14"/>
      <c r="S483" s="14"/>
      <c r="T483" s="14"/>
      <c r="U483" s="14"/>
      <c r="V483" s="14"/>
      <c r="W483" s="39" t="str">
        <f>IF(AND(L483="WIN",L484&lt;&gt;"WIN"),SUMIF(L$24:L483,"WIN",K$24:K483)-SUM(W$23:W482),"")</f>
        <v/>
      </c>
      <c r="X483" s="41" t="str">
        <f>IF(AND(L483="LOSS",L484&lt;&gt;"LOSS"),SUMIF(L$24:L483,"LOSS",K$24:K483)-SUM(X$23:X482),"")</f>
        <v/>
      </c>
      <c r="Y483" s="8"/>
      <c r="Z483" s="85"/>
      <c r="AA483" s="85"/>
      <c r="AB483" s="85"/>
      <c r="AC483" s="85"/>
      <c r="AD483" s="85"/>
      <c r="AE483" s="85"/>
      <c r="AF483" s="85"/>
      <c r="AG483" s="85"/>
      <c r="AH483" s="85"/>
      <c r="AI483" s="85"/>
      <c r="AJ483" s="85"/>
      <c r="AK483" s="85"/>
      <c r="AL483" s="85"/>
      <c r="AM483" s="85"/>
      <c r="AN483" s="85"/>
      <c r="AO483" s="85"/>
      <c r="AP483" s="85"/>
      <c r="AQ483" s="85"/>
      <c r="AR483" s="85"/>
      <c r="AS483" s="85"/>
      <c r="AT483" s="85"/>
      <c r="AU483" s="85"/>
      <c r="AV483" s="85"/>
      <c r="AW483" s="85"/>
      <c r="AX483" s="85"/>
      <c r="AY483" s="85"/>
      <c r="AZ483" s="85"/>
      <c r="BA483" s="85"/>
    </row>
    <row r="484" spans="1:53" ht="15.75">
      <c r="A484" s="149"/>
      <c r="B484" s="305" t="s">
        <v>528</v>
      </c>
      <c r="C484" s="306"/>
      <c r="D484" s="271">
        <v>18</v>
      </c>
      <c r="E484" s="272"/>
      <c r="F484" s="278">
        <f t="shared" si="53"/>
        <v>21418.66517854531</v>
      </c>
      <c r="G484" s="279"/>
      <c r="H484" s="275">
        <f t="shared" si="49"/>
        <v>214.18665178545311</v>
      </c>
      <c r="I484" s="276"/>
      <c r="J484" s="277"/>
      <c r="K484" s="75">
        <f t="shared" si="54"/>
        <v>257.02398214254373</v>
      </c>
      <c r="L484" s="81" t="str">
        <f t="shared" si="50"/>
        <v>WIN</v>
      </c>
      <c r="M484" s="242">
        <f>IF(COUNTA($F$6:$F$10)=5,(F485-F24)/F24,"")</f>
        <v>1.1675689160687857</v>
      </c>
      <c r="N484" s="238">
        <f t="shared" si="51"/>
        <v>3</v>
      </c>
      <c r="O484" s="14" t="str">
        <f t="shared" si="52"/>
        <v>middle</v>
      </c>
      <c r="P484" s="14"/>
      <c r="Q484" s="14"/>
      <c r="R484" s="14"/>
      <c r="S484" s="14"/>
      <c r="T484" s="14"/>
      <c r="U484" s="14"/>
      <c r="V484" s="14"/>
      <c r="W484" s="39" t="str">
        <f>IF(AND(L484="WIN",L485&lt;&gt;"WIN"),SUMIF(L$24:L484,"WIN",K$24:K484)-SUM(W$23:W483),"")</f>
        <v/>
      </c>
      <c r="X484" s="41" t="str">
        <f>IF(AND(L484="LOSS",L485&lt;&gt;"LOSS"),SUMIF(L$24:L484,"LOSS",K$24:K484)-SUM(X$23:X483),"")</f>
        <v/>
      </c>
      <c r="Y484" s="8"/>
      <c r="Z484" s="85"/>
      <c r="AA484" s="85"/>
      <c r="AB484" s="85"/>
      <c r="AC484" s="85"/>
      <c r="AD484" s="85"/>
      <c r="AE484" s="85"/>
      <c r="AF484" s="85"/>
      <c r="AG484" s="85"/>
      <c r="AH484" s="85"/>
      <c r="AI484" s="85"/>
      <c r="AJ484" s="85"/>
      <c r="AK484" s="85"/>
      <c r="AL484" s="85"/>
      <c r="AM484" s="85"/>
      <c r="AN484" s="85"/>
      <c r="AO484" s="85"/>
      <c r="AP484" s="85"/>
      <c r="AQ484" s="85"/>
      <c r="AR484" s="85"/>
      <c r="AS484" s="85"/>
      <c r="AT484" s="85"/>
      <c r="AU484" s="85"/>
      <c r="AV484" s="85"/>
      <c r="AW484" s="85"/>
      <c r="AX484" s="85"/>
      <c r="AY484" s="85"/>
      <c r="AZ484" s="85"/>
      <c r="BA484" s="85"/>
    </row>
    <row r="485" spans="1:53" ht="15.75">
      <c r="A485" s="149"/>
      <c r="B485" s="305" t="s">
        <v>529</v>
      </c>
      <c r="C485" s="306"/>
      <c r="D485" s="271">
        <v>51</v>
      </c>
      <c r="E485" s="272"/>
      <c r="F485" s="278">
        <f t="shared" si="53"/>
        <v>21675.689160687856</v>
      </c>
      <c r="G485" s="279"/>
      <c r="H485" s="275">
        <f t="shared" si="49"/>
        <v>216.75689160687855</v>
      </c>
      <c r="I485" s="276"/>
      <c r="J485" s="277"/>
      <c r="K485" s="75">
        <f t="shared" si="54"/>
        <v>260.10826992825423</v>
      </c>
      <c r="L485" s="81" t="str">
        <f t="shared" si="50"/>
        <v>WIN</v>
      </c>
      <c r="M485" s="242">
        <f>IF(COUNTA($F$6:$F$10)=5,(F486-F24)/F24,"")</f>
        <v>1.1935797430616113</v>
      </c>
      <c r="N485" s="238">
        <f t="shared" si="51"/>
        <v>4</v>
      </c>
      <c r="O485" s="14" t="str">
        <f t="shared" si="52"/>
        <v>middle</v>
      </c>
      <c r="P485" s="14"/>
      <c r="Q485" s="14"/>
      <c r="R485" s="14"/>
      <c r="S485" s="14"/>
      <c r="T485" s="14"/>
      <c r="U485" s="14"/>
      <c r="V485" s="14"/>
      <c r="W485" s="39" t="str">
        <f>IF(AND(L485="WIN",L486&lt;&gt;"WIN"),SUMIF(L$24:L485,"WIN",K$24:K485)-SUM(W$23:W484),"")</f>
        <v/>
      </c>
      <c r="X485" s="41" t="str">
        <f>IF(AND(L485="LOSS",L486&lt;&gt;"LOSS"),SUMIF(L$24:L485,"LOSS",K$24:K485)-SUM(X$23:X484),"")</f>
        <v/>
      </c>
      <c r="Y485" s="8"/>
      <c r="Z485" s="85"/>
      <c r="AA485" s="85"/>
      <c r="AB485" s="85"/>
      <c r="AC485" s="85"/>
      <c r="AD485" s="85"/>
      <c r="AE485" s="85"/>
      <c r="AF485" s="85"/>
      <c r="AG485" s="85"/>
      <c r="AH485" s="85"/>
      <c r="AI485" s="85"/>
      <c r="AJ485" s="85"/>
      <c r="AK485" s="85"/>
      <c r="AL485" s="85"/>
      <c r="AM485" s="85"/>
      <c r="AN485" s="85"/>
      <c r="AO485" s="85"/>
      <c r="AP485" s="85"/>
      <c r="AQ485" s="85"/>
      <c r="AR485" s="85"/>
      <c r="AS485" s="85"/>
      <c r="AT485" s="85"/>
      <c r="AU485" s="85"/>
      <c r="AV485" s="85"/>
      <c r="AW485" s="85"/>
      <c r="AX485" s="85"/>
      <c r="AY485" s="85"/>
      <c r="AZ485" s="85"/>
      <c r="BA485" s="85"/>
    </row>
    <row r="486" spans="1:53" ht="15.75">
      <c r="A486" s="149"/>
      <c r="B486" s="305" t="s">
        <v>530</v>
      </c>
      <c r="C486" s="306"/>
      <c r="D486" s="271">
        <v>21</v>
      </c>
      <c r="E486" s="272"/>
      <c r="F486" s="278">
        <f t="shared" si="53"/>
        <v>21935.797430616112</v>
      </c>
      <c r="G486" s="279"/>
      <c r="H486" s="275">
        <f t="shared" si="49"/>
        <v>219.35797430616114</v>
      </c>
      <c r="I486" s="276"/>
      <c r="J486" s="277"/>
      <c r="K486" s="75">
        <f t="shared" si="54"/>
        <v>263.22956916739338</v>
      </c>
      <c r="L486" s="81" t="str">
        <f t="shared" si="50"/>
        <v>WIN</v>
      </c>
      <c r="M486" s="242">
        <f>IF(COUNTA($F$6:$F$10)=5,(F487-F24)/F24,"")</f>
        <v>1.2199026999783507</v>
      </c>
      <c r="N486" s="238">
        <f t="shared" si="51"/>
        <v>5</v>
      </c>
      <c r="O486" s="14" t="str">
        <f t="shared" si="52"/>
        <v>middle</v>
      </c>
      <c r="P486" s="14"/>
      <c r="Q486" s="14"/>
      <c r="R486" s="14"/>
      <c r="S486" s="14"/>
      <c r="T486" s="14"/>
      <c r="U486" s="14"/>
      <c r="V486" s="14"/>
      <c r="W486" s="39" t="str">
        <f>IF(AND(L486="WIN",L487&lt;&gt;"WIN"),SUMIF(L$24:L486,"WIN",K$24:K486)-SUM(W$23:W485),"")</f>
        <v/>
      </c>
      <c r="X486" s="41" t="str">
        <f>IF(AND(L486="LOSS",L487&lt;&gt;"LOSS"),SUMIF(L$24:L486,"LOSS",K$24:K486)-SUM(X$23:X485),"")</f>
        <v/>
      </c>
      <c r="Y486" s="8"/>
      <c r="Z486" s="85"/>
      <c r="AA486" s="85"/>
      <c r="AB486" s="85"/>
      <c r="AC486" s="85"/>
      <c r="AD486" s="85"/>
      <c r="AE486" s="85"/>
      <c r="AF486" s="85"/>
      <c r="AG486" s="85"/>
      <c r="AH486" s="85"/>
      <c r="AI486" s="85"/>
      <c r="AJ486" s="85"/>
      <c r="AK486" s="85"/>
      <c r="AL486" s="85"/>
      <c r="AM486" s="85"/>
      <c r="AN486" s="85"/>
      <c r="AO486" s="85"/>
      <c r="AP486" s="85"/>
      <c r="AQ486" s="85"/>
      <c r="AR486" s="85"/>
      <c r="AS486" s="85"/>
      <c r="AT486" s="85"/>
      <c r="AU486" s="85"/>
      <c r="AV486" s="85"/>
      <c r="AW486" s="85"/>
      <c r="AX486" s="85"/>
      <c r="AY486" s="85"/>
      <c r="AZ486" s="85"/>
      <c r="BA486" s="85"/>
    </row>
    <row r="487" spans="1:53" ht="15.75">
      <c r="A487" s="149"/>
      <c r="B487" s="305" t="s">
        <v>531</v>
      </c>
      <c r="C487" s="306"/>
      <c r="D487" s="271">
        <v>30</v>
      </c>
      <c r="E487" s="272"/>
      <c r="F487" s="278">
        <f t="shared" si="53"/>
        <v>22199.026999783506</v>
      </c>
      <c r="G487" s="279"/>
      <c r="H487" s="275">
        <f t="shared" si="49"/>
        <v>221.99026999783507</v>
      </c>
      <c r="I487" s="276"/>
      <c r="J487" s="277"/>
      <c r="K487" s="75">
        <f t="shared" si="54"/>
        <v>266.3883239974021</v>
      </c>
      <c r="L487" s="81" t="str">
        <f t="shared" si="50"/>
        <v>WIN</v>
      </c>
      <c r="M487" s="242">
        <f>IF(COUNTA($F$6:$F$10)=5,(F488-F24)/F24,"")</f>
        <v>1.2465415323780908</v>
      </c>
      <c r="N487" s="238">
        <f t="shared" si="51"/>
        <v>6</v>
      </c>
      <c r="O487" s="14" t="str">
        <f t="shared" si="52"/>
        <v>middle</v>
      </c>
      <c r="P487" s="14"/>
      <c r="Q487" s="14"/>
      <c r="R487" s="14"/>
      <c r="S487" s="14"/>
      <c r="T487" s="14"/>
      <c r="U487" s="14"/>
      <c r="V487" s="14"/>
      <c r="W487" s="39" t="str">
        <f>IF(AND(L487="WIN",L488&lt;&gt;"WIN"),SUMIF(L$24:L487,"WIN",K$24:K487)-SUM(W$23:W486),"")</f>
        <v/>
      </c>
      <c r="X487" s="41" t="str">
        <f>IF(AND(L487="LOSS",L488&lt;&gt;"LOSS"),SUMIF(L$24:L487,"LOSS",K$24:K487)-SUM(X$23:X486),"")</f>
        <v/>
      </c>
      <c r="Y487" s="8"/>
      <c r="Z487" s="85"/>
      <c r="AA487" s="85"/>
      <c r="AB487" s="85"/>
      <c r="AC487" s="85"/>
      <c r="AD487" s="85"/>
      <c r="AE487" s="85"/>
      <c r="AF487" s="85"/>
      <c r="AG487" s="85"/>
      <c r="AH487" s="85"/>
      <c r="AI487" s="85"/>
      <c r="AJ487" s="85"/>
      <c r="AK487" s="85"/>
      <c r="AL487" s="85"/>
      <c r="AM487" s="85"/>
      <c r="AN487" s="85"/>
      <c r="AO487" s="85"/>
      <c r="AP487" s="85"/>
      <c r="AQ487" s="85"/>
      <c r="AR487" s="85"/>
      <c r="AS487" s="85"/>
      <c r="AT487" s="85"/>
      <c r="AU487" s="85"/>
      <c r="AV487" s="85"/>
      <c r="AW487" s="85"/>
      <c r="AX487" s="85"/>
      <c r="AY487" s="85"/>
      <c r="AZ487" s="85"/>
      <c r="BA487" s="85"/>
    </row>
    <row r="488" spans="1:53" ht="15.75">
      <c r="A488" s="149"/>
      <c r="B488" s="305" t="s">
        <v>532</v>
      </c>
      <c r="C488" s="306"/>
      <c r="D488" s="271">
        <v>38</v>
      </c>
      <c r="E488" s="272"/>
      <c r="F488" s="278">
        <f t="shared" si="53"/>
        <v>22465.415323780908</v>
      </c>
      <c r="G488" s="279"/>
      <c r="H488" s="275">
        <f t="shared" si="49"/>
        <v>224.65415323780908</v>
      </c>
      <c r="I488" s="276"/>
      <c r="J488" s="277"/>
      <c r="K488" s="75">
        <f t="shared" si="54"/>
        <v>269.58498388537089</v>
      </c>
      <c r="L488" s="81" t="str">
        <f t="shared" si="50"/>
        <v>WIN</v>
      </c>
      <c r="M488" s="242">
        <f>IF(COUNTA($F$6:$F$10)=5,(F489-F24)/F24,"")</f>
        <v>1.273500030766628</v>
      </c>
      <c r="N488" s="238">
        <f t="shared" si="51"/>
        <v>7</v>
      </c>
      <c r="O488" s="14" t="str">
        <f t="shared" si="52"/>
        <v>last</v>
      </c>
      <c r="P488" s="14"/>
      <c r="Q488" s="14"/>
      <c r="R488" s="14"/>
      <c r="S488" s="14"/>
      <c r="T488" s="14"/>
      <c r="U488" s="14"/>
      <c r="V488" s="14"/>
      <c r="W488" s="39">
        <f>IF(AND(L488="WIN",L489&lt;&gt;"WIN"),SUMIF(L$24:L488,"WIN",K$24:K488)-SUM(W$23:W487),"")</f>
        <v>1821.2760867116885</v>
      </c>
      <c r="X488" s="41" t="str">
        <f>IF(AND(L488="LOSS",L489&lt;&gt;"LOSS"),SUMIF(L$24:L488,"LOSS",K$24:K488)-SUM(X$23:X487),"")</f>
        <v/>
      </c>
      <c r="Y488" s="8"/>
      <c r="Z488" s="85"/>
      <c r="AA488" s="85"/>
      <c r="AB488" s="85"/>
      <c r="AC488" s="85"/>
      <c r="AD488" s="85"/>
      <c r="AE488" s="85"/>
      <c r="AF488" s="85"/>
      <c r="AG488" s="85"/>
      <c r="AH488" s="85"/>
      <c r="AI488" s="85"/>
      <c r="AJ488" s="85"/>
      <c r="AK488" s="85"/>
      <c r="AL488" s="85"/>
      <c r="AM488" s="85"/>
      <c r="AN488" s="85"/>
      <c r="AO488" s="85"/>
      <c r="AP488" s="85"/>
      <c r="AQ488" s="85"/>
      <c r="AR488" s="85"/>
      <c r="AS488" s="85"/>
      <c r="AT488" s="85"/>
      <c r="AU488" s="85"/>
      <c r="AV488" s="85"/>
      <c r="AW488" s="85"/>
      <c r="AX488" s="85"/>
      <c r="AY488" s="85"/>
      <c r="AZ488" s="85"/>
      <c r="BA488" s="85"/>
    </row>
    <row r="489" spans="1:53" ht="15.75">
      <c r="A489" s="149"/>
      <c r="B489" s="305" t="s">
        <v>533</v>
      </c>
      <c r="C489" s="306"/>
      <c r="D489" s="271">
        <v>86</v>
      </c>
      <c r="E489" s="272"/>
      <c r="F489" s="278">
        <f t="shared" si="53"/>
        <v>22735.00030766628</v>
      </c>
      <c r="G489" s="279"/>
      <c r="H489" s="275">
        <f t="shared" si="49"/>
        <v>227.3500030766628</v>
      </c>
      <c r="I489" s="276"/>
      <c r="J489" s="277"/>
      <c r="K489" s="75">
        <f t="shared" si="54"/>
        <v>-227.3500030766628</v>
      </c>
      <c r="L489" s="81" t="str">
        <f t="shared" si="50"/>
        <v>LOSS</v>
      </c>
      <c r="M489" s="242">
        <f>IF(COUNTA($F$6:$F$10)=5,(F490-F24)/F24,"")</f>
        <v>1.2507650304589617</v>
      </c>
      <c r="N489" s="238">
        <f t="shared" si="51"/>
        <v>1</v>
      </c>
      <c r="O489" s="14" t="str">
        <f t="shared" si="52"/>
        <v>new</v>
      </c>
      <c r="P489" s="14"/>
      <c r="Q489" s="14"/>
      <c r="R489" s="14"/>
      <c r="S489" s="14"/>
      <c r="T489" s="14"/>
      <c r="U489" s="14"/>
      <c r="V489" s="14"/>
      <c r="W489" s="39" t="str">
        <f>IF(AND(L489="WIN",L490&lt;&gt;"WIN"),SUMIF(L$24:L489,"WIN",K$24:K489)-SUM(W$23:W488),"")</f>
        <v/>
      </c>
      <c r="X489" s="41" t="str">
        <f>IF(AND(L489="LOSS",L490&lt;&gt;"LOSS"),SUMIF(L$24:L489,"LOSS",K$24:K489)-SUM(X$23:X488),"")</f>
        <v/>
      </c>
      <c r="Y489" s="8"/>
      <c r="Z489" s="85"/>
      <c r="AA489" s="85"/>
      <c r="AB489" s="85"/>
      <c r="AC489" s="85"/>
      <c r="AD489" s="85"/>
      <c r="AE489" s="85"/>
      <c r="AF489" s="85"/>
      <c r="AG489" s="85"/>
      <c r="AH489" s="85"/>
      <c r="AI489" s="85"/>
      <c r="AJ489" s="85"/>
      <c r="AK489" s="85"/>
      <c r="AL489" s="85"/>
      <c r="AM489" s="85"/>
      <c r="AN489" s="85"/>
      <c r="AO489" s="85"/>
      <c r="AP489" s="85"/>
      <c r="AQ489" s="85"/>
      <c r="AR489" s="85"/>
      <c r="AS489" s="85"/>
      <c r="AT489" s="85"/>
      <c r="AU489" s="85"/>
      <c r="AV489" s="85"/>
      <c r="AW489" s="85"/>
      <c r="AX489" s="85"/>
      <c r="AY489" s="85"/>
      <c r="AZ489" s="85"/>
      <c r="BA489" s="85"/>
    </row>
    <row r="490" spans="1:53" ht="15.75">
      <c r="A490" s="149"/>
      <c r="B490" s="305" t="s">
        <v>534</v>
      </c>
      <c r="C490" s="306"/>
      <c r="D490" s="271">
        <v>92</v>
      </c>
      <c r="E490" s="272"/>
      <c r="F490" s="278">
        <f t="shared" si="53"/>
        <v>22507.650304589617</v>
      </c>
      <c r="G490" s="279"/>
      <c r="H490" s="275">
        <f t="shared" si="49"/>
        <v>225.07650304589617</v>
      </c>
      <c r="I490" s="276"/>
      <c r="J490" s="277"/>
      <c r="K490" s="75">
        <f t="shared" si="54"/>
        <v>-225.07650304589617</v>
      </c>
      <c r="L490" s="81" t="str">
        <f t="shared" si="50"/>
        <v>LOSS</v>
      </c>
      <c r="M490" s="242">
        <f>IF(COUNTA($F$6:$F$10)=5,(F491-F24)/F24,"")</f>
        <v>1.2282573801543719</v>
      </c>
      <c r="N490" s="238">
        <f t="shared" si="51"/>
        <v>2</v>
      </c>
      <c r="O490" s="14" t="str">
        <f t="shared" si="52"/>
        <v>last</v>
      </c>
      <c r="P490" s="14"/>
      <c r="Q490" s="14"/>
      <c r="R490" s="14"/>
      <c r="S490" s="14"/>
      <c r="T490" s="14"/>
      <c r="U490" s="14"/>
      <c r="V490" s="14"/>
      <c r="W490" s="39" t="str">
        <f>IF(AND(L490="WIN",L491&lt;&gt;"WIN"),SUMIF(L$24:L490,"WIN",K$24:K490)-SUM(W$23:W489),"")</f>
        <v/>
      </c>
      <c r="X490" s="41">
        <f>IF(AND(L490="LOSS",L491&lt;&gt;"LOSS"),SUMIF(L$24:L490,"LOSS",K$24:K490)-SUM(X$23:X489),"")</f>
        <v>-452.42650612255966</v>
      </c>
      <c r="Y490" s="8"/>
      <c r="Z490" s="85"/>
      <c r="AA490" s="85"/>
      <c r="AB490" s="85"/>
      <c r="AC490" s="85"/>
      <c r="AD490" s="85"/>
      <c r="AE490" s="85"/>
      <c r="AF490" s="85"/>
      <c r="AG490" s="85"/>
      <c r="AH490" s="85"/>
      <c r="AI490" s="85"/>
      <c r="AJ490" s="85"/>
      <c r="AK490" s="85"/>
      <c r="AL490" s="85"/>
      <c r="AM490" s="85"/>
      <c r="AN490" s="85"/>
      <c r="AO490" s="85"/>
      <c r="AP490" s="85"/>
      <c r="AQ490" s="85"/>
      <c r="AR490" s="85"/>
      <c r="AS490" s="85"/>
      <c r="AT490" s="85"/>
      <c r="AU490" s="85"/>
      <c r="AV490" s="85"/>
      <c r="AW490" s="85"/>
      <c r="AX490" s="85"/>
      <c r="AY490" s="85"/>
      <c r="AZ490" s="85"/>
      <c r="BA490" s="85"/>
    </row>
    <row r="491" spans="1:53" ht="15.75">
      <c r="A491" s="149"/>
      <c r="B491" s="305" t="s">
        <v>535</v>
      </c>
      <c r="C491" s="306"/>
      <c r="D491" s="271">
        <v>49</v>
      </c>
      <c r="E491" s="272"/>
      <c r="F491" s="278">
        <f t="shared" si="53"/>
        <v>22282.57380154372</v>
      </c>
      <c r="G491" s="279"/>
      <c r="H491" s="275">
        <f t="shared" si="49"/>
        <v>222.8257380154372</v>
      </c>
      <c r="I491" s="276"/>
      <c r="J491" s="277"/>
      <c r="K491" s="75">
        <f t="shared" si="54"/>
        <v>267.39088561852463</v>
      </c>
      <c r="L491" s="81" t="str">
        <f t="shared" si="50"/>
        <v>WIN</v>
      </c>
      <c r="M491" s="242">
        <f>IF(COUNTA($F$6:$F$10)=5,(F492-F24)/F24,"")</f>
        <v>1.2549964687162247</v>
      </c>
      <c r="N491" s="238">
        <f t="shared" si="51"/>
        <v>1</v>
      </c>
      <c r="O491" s="14" t="str">
        <f t="shared" si="52"/>
        <v>new</v>
      </c>
      <c r="P491" s="14"/>
      <c r="Q491" s="14"/>
      <c r="R491" s="14"/>
      <c r="S491" s="14"/>
      <c r="T491" s="14"/>
      <c r="U491" s="14"/>
      <c r="V491" s="14"/>
      <c r="W491" s="39" t="str">
        <f>IF(AND(L491="WIN",L492&lt;&gt;"WIN"),SUMIF(L$24:L491,"WIN",K$24:K491)-SUM(W$23:W490),"")</f>
        <v/>
      </c>
      <c r="X491" s="41" t="str">
        <f>IF(AND(L491="LOSS",L492&lt;&gt;"LOSS"),SUMIF(L$24:L491,"LOSS",K$24:K491)-SUM(X$23:X490),"")</f>
        <v/>
      </c>
      <c r="Y491" s="8"/>
      <c r="Z491" s="85"/>
      <c r="AA491" s="85"/>
      <c r="AB491" s="85"/>
      <c r="AC491" s="85"/>
      <c r="AD491" s="85"/>
      <c r="AE491" s="85"/>
      <c r="AF491" s="85"/>
      <c r="AG491" s="85"/>
      <c r="AH491" s="85"/>
      <c r="AI491" s="85"/>
      <c r="AJ491" s="85"/>
      <c r="AK491" s="85"/>
      <c r="AL491" s="85"/>
      <c r="AM491" s="85"/>
      <c r="AN491" s="85"/>
      <c r="AO491" s="85"/>
      <c r="AP491" s="85"/>
      <c r="AQ491" s="85"/>
      <c r="AR491" s="85"/>
      <c r="AS491" s="85"/>
      <c r="AT491" s="85"/>
      <c r="AU491" s="85"/>
      <c r="AV491" s="85"/>
      <c r="AW491" s="85"/>
      <c r="AX491" s="85"/>
      <c r="AY491" s="85"/>
      <c r="AZ491" s="85"/>
      <c r="BA491" s="85"/>
    </row>
    <row r="492" spans="1:53" ht="15.75">
      <c r="A492" s="149"/>
      <c r="B492" s="305" t="s">
        <v>536</v>
      </c>
      <c r="C492" s="306"/>
      <c r="D492" s="271">
        <v>40</v>
      </c>
      <c r="E492" s="272"/>
      <c r="F492" s="278">
        <f t="shared" si="53"/>
        <v>22549.964687162246</v>
      </c>
      <c r="G492" s="279"/>
      <c r="H492" s="275">
        <f t="shared" si="49"/>
        <v>225.49964687162247</v>
      </c>
      <c r="I492" s="276"/>
      <c r="J492" s="277"/>
      <c r="K492" s="75">
        <f t="shared" si="54"/>
        <v>270.59957624594693</v>
      </c>
      <c r="L492" s="81" t="str">
        <f t="shared" si="50"/>
        <v>WIN</v>
      </c>
      <c r="M492" s="242">
        <f>IF(COUNTA($F$6:$F$10)=5,(F493-F24)/F24,"")</f>
        <v>1.2820564263408192</v>
      </c>
      <c r="N492" s="238">
        <f t="shared" si="51"/>
        <v>2</v>
      </c>
      <c r="O492" s="14" t="str">
        <f t="shared" si="52"/>
        <v>middle</v>
      </c>
      <c r="P492" s="14"/>
      <c r="Q492" s="14"/>
      <c r="R492" s="14"/>
      <c r="S492" s="14"/>
      <c r="T492" s="14"/>
      <c r="U492" s="14"/>
      <c r="V492" s="14"/>
      <c r="W492" s="39" t="str">
        <f>IF(AND(L492="WIN",L493&lt;&gt;"WIN"),SUMIF(L$24:L492,"WIN",K$24:K492)-SUM(W$23:W491),"")</f>
        <v/>
      </c>
      <c r="X492" s="41" t="str">
        <f>IF(AND(L492="LOSS",L493&lt;&gt;"LOSS"),SUMIF(L$24:L492,"LOSS",K$24:K492)-SUM(X$23:X491),"")</f>
        <v/>
      </c>
      <c r="Y492" s="8"/>
      <c r="Z492" s="85"/>
      <c r="AA492" s="85"/>
      <c r="AB492" s="85"/>
      <c r="AC492" s="85"/>
      <c r="AD492" s="85"/>
      <c r="AE492" s="85"/>
      <c r="AF492" s="85"/>
      <c r="AG492" s="85"/>
      <c r="AH492" s="85"/>
      <c r="AI492" s="85"/>
      <c r="AJ492" s="85"/>
      <c r="AK492" s="85"/>
      <c r="AL492" s="85"/>
      <c r="AM492" s="85"/>
      <c r="AN492" s="85"/>
      <c r="AO492" s="85"/>
      <c r="AP492" s="85"/>
      <c r="AQ492" s="85"/>
      <c r="AR492" s="85"/>
      <c r="AS492" s="85"/>
      <c r="AT492" s="85"/>
      <c r="AU492" s="85"/>
      <c r="AV492" s="85"/>
      <c r="AW492" s="85"/>
      <c r="AX492" s="85"/>
      <c r="AY492" s="85"/>
      <c r="AZ492" s="85"/>
      <c r="BA492" s="85"/>
    </row>
    <row r="493" spans="1:53" ht="15.75">
      <c r="A493" s="149"/>
      <c r="B493" s="305" t="s">
        <v>537</v>
      </c>
      <c r="C493" s="306"/>
      <c r="D493" s="271">
        <v>29</v>
      </c>
      <c r="E493" s="272"/>
      <c r="F493" s="278">
        <f t="shared" si="53"/>
        <v>22820.564263408192</v>
      </c>
      <c r="G493" s="279"/>
      <c r="H493" s="275">
        <f t="shared" si="49"/>
        <v>228.20564263408193</v>
      </c>
      <c r="I493" s="276"/>
      <c r="J493" s="277"/>
      <c r="K493" s="75">
        <f t="shared" si="54"/>
        <v>273.8467711608983</v>
      </c>
      <c r="L493" s="81" t="str">
        <f t="shared" si="50"/>
        <v>WIN</v>
      </c>
      <c r="M493" s="242">
        <f>IF(COUNTA($F$6:$F$10)=5,(F494-F24)/F24,"")</f>
        <v>1.3094411034569089</v>
      </c>
      <c r="N493" s="238">
        <f t="shared" si="51"/>
        <v>3</v>
      </c>
      <c r="O493" s="14" t="str">
        <f t="shared" si="52"/>
        <v>last</v>
      </c>
      <c r="P493" s="14"/>
      <c r="Q493" s="14"/>
      <c r="R493" s="14"/>
      <c r="S493" s="14"/>
      <c r="T493" s="14"/>
      <c r="U493" s="14"/>
      <c r="V493" s="14"/>
      <c r="W493" s="39">
        <f>IF(AND(L493="WIN",L494&lt;&gt;"WIN"),SUMIF(L$24:L493,"WIN",K$24:K493)-SUM(W$23:W492),"")</f>
        <v>811.83723302536964</v>
      </c>
      <c r="X493" s="41" t="str">
        <f>IF(AND(L493="LOSS",L494&lt;&gt;"LOSS"),SUMIF(L$24:L493,"LOSS",K$24:K493)-SUM(X$23:X492),"")</f>
        <v/>
      </c>
      <c r="Y493" s="8"/>
      <c r="Z493" s="85"/>
      <c r="AA493" s="85"/>
      <c r="AB493" s="85"/>
      <c r="AC493" s="85"/>
      <c r="AD493" s="85"/>
      <c r="AE493" s="85"/>
      <c r="AF493" s="85"/>
      <c r="AG493" s="85"/>
      <c r="AH493" s="85"/>
      <c r="AI493" s="85"/>
      <c r="AJ493" s="85"/>
      <c r="AK493" s="85"/>
      <c r="AL493" s="85"/>
      <c r="AM493" s="85"/>
      <c r="AN493" s="85"/>
      <c r="AO493" s="85"/>
      <c r="AP493" s="85"/>
      <c r="AQ493" s="85"/>
      <c r="AR493" s="85"/>
      <c r="AS493" s="85"/>
      <c r="AT493" s="85"/>
      <c r="AU493" s="85"/>
      <c r="AV493" s="85"/>
      <c r="AW493" s="85"/>
      <c r="AX493" s="85"/>
      <c r="AY493" s="85"/>
      <c r="AZ493" s="85"/>
      <c r="BA493" s="85"/>
    </row>
    <row r="494" spans="1:53" ht="15.75">
      <c r="A494" s="149"/>
      <c r="B494" s="305" t="s">
        <v>538</v>
      </c>
      <c r="C494" s="306"/>
      <c r="D494" s="271">
        <v>75</v>
      </c>
      <c r="E494" s="272"/>
      <c r="F494" s="278">
        <f t="shared" si="53"/>
        <v>23094.41103456909</v>
      </c>
      <c r="G494" s="279"/>
      <c r="H494" s="275">
        <f t="shared" si="49"/>
        <v>230.94411034569089</v>
      </c>
      <c r="I494" s="276"/>
      <c r="J494" s="277"/>
      <c r="K494" s="75">
        <f t="shared" si="54"/>
        <v>-230.94411034569089</v>
      </c>
      <c r="L494" s="81" t="str">
        <f t="shared" si="50"/>
        <v>LOSS</v>
      </c>
      <c r="M494" s="242">
        <f>IF(COUNTA($F$6:$F$10)=5,(F495-F24)/F24,"")</f>
        <v>1.2863466924223397</v>
      </c>
      <c r="N494" s="238">
        <f t="shared" si="51"/>
        <v>1</v>
      </c>
      <c r="O494" s="14" t="str">
        <f t="shared" si="52"/>
        <v>new</v>
      </c>
      <c r="P494" s="14"/>
      <c r="Q494" s="14"/>
      <c r="R494" s="14"/>
      <c r="S494" s="14"/>
      <c r="T494" s="14"/>
      <c r="U494" s="14"/>
      <c r="V494" s="14"/>
      <c r="W494" s="39" t="str">
        <f>IF(AND(L494="WIN",L495&lt;&gt;"WIN"),SUMIF(L$24:L494,"WIN",K$24:K494)-SUM(W$23:W493),"")</f>
        <v/>
      </c>
      <c r="X494" s="41" t="str">
        <f>IF(AND(L494="LOSS",L495&lt;&gt;"LOSS"),SUMIF(L$24:L494,"LOSS",K$24:K494)-SUM(X$23:X493),"")</f>
        <v/>
      </c>
      <c r="Y494" s="8"/>
      <c r="Z494" s="85"/>
      <c r="AA494" s="85"/>
      <c r="AB494" s="85"/>
      <c r="AC494" s="85"/>
      <c r="AD494" s="85"/>
      <c r="AE494" s="85"/>
      <c r="AF494" s="85"/>
      <c r="AG494" s="85"/>
      <c r="AH494" s="85"/>
      <c r="AI494" s="85"/>
      <c r="AJ494" s="85"/>
      <c r="AK494" s="85"/>
      <c r="AL494" s="85"/>
      <c r="AM494" s="85"/>
      <c r="AN494" s="85"/>
      <c r="AO494" s="85"/>
      <c r="AP494" s="85"/>
      <c r="AQ494" s="85"/>
      <c r="AR494" s="85"/>
      <c r="AS494" s="85"/>
      <c r="AT494" s="85"/>
      <c r="AU494" s="85"/>
      <c r="AV494" s="85"/>
      <c r="AW494" s="85"/>
      <c r="AX494" s="85"/>
      <c r="AY494" s="85"/>
      <c r="AZ494" s="85"/>
      <c r="BA494" s="85"/>
    </row>
    <row r="495" spans="1:53" ht="15.75">
      <c r="A495" s="149"/>
      <c r="B495" s="305" t="s">
        <v>539</v>
      </c>
      <c r="C495" s="306"/>
      <c r="D495" s="271">
        <v>77</v>
      </c>
      <c r="E495" s="272"/>
      <c r="F495" s="278">
        <f t="shared" si="53"/>
        <v>22863.466924223398</v>
      </c>
      <c r="G495" s="279"/>
      <c r="H495" s="275">
        <f t="shared" si="49"/>
        <v>228.63466924223397</v>
      </c>
      <c r="I495" s="276"/>
      <c r="J495" s="277"/>
      <c r="K495" s="75">
        <f t="shared" si="54"/>
        <v>-228.63466924223397</v>
      </c>
      <c r="L495" s="81" t="str">
        <f t="shared" si="50"/>
        <v>LOSS</v>
      </c>
      <c r="M495" s="242">
        <f>IF(COUNTA($F$6:$F$10)=5,(F496-F24)/F24,"")</f>
        <v>1.2634832254981163</v>
      </c>
      <c r="N495" s="238">
        <f t="shared" si="51"/>
        <v>2</v>
      </c>
      <c r="O495" s="14" t="str">
        <f t="shared" si="52"/>
        <v>last</v>
      </c>
      <c r="P495" s="14"/>
      <c r="Q495" s="14"/>
      <c r="R495" s="14"/>
      <c r="S495" s="14"/>
      <c r="T495" s="14"/>
      <c r="U495" s="14"/>
      <c r="V495" s="14"/>
      <c r="W495" s="39" t="str">
        <f>IF(AND(L495="WIN",L496&lt;&gt;"WIN"),SUMIF(L$24:L495,"WIN",K$24:K495)-SUM(W$23:W494),"")</f>
        <v/>
      </c>
      <c r="X495" s="41">
        <f>IF(AND(L495="LOSS",L496&lt;&gt;"LOSS"),SUMIF(L$24:L495,"LOSS",K$24:K495)-SUM(X$23:X494),"")</f>
        <v>-459.57877958792596</v>
      </c>
      <c r="Y495" s="8"/>
      <c r="Z495" s="85"/>
      <c r="AA495" s="85"/>
      <c r="AB495" s="85"/>
      <c r="AC495" s="85"/>
      <c r="AD495" s="85"/>
      <c r="AE495" s="85"/>
      <c r="AF495" s="85"/>
      <c r="AG495" s="85"/>
      <c r="AH495" s="85"/>
      <c r="AI495" s="85"/>
      <c r="AJ495" s="85"/>
      <c r="AK495" s="85"/>
      <c r="AL495" s="85"/>
      <c r="AM495" s="85"/>
      <c r="AN495" s="85"/>
      <c r="AO495" s="85"/>
      <c r="AP495" s="85"/>
      <c r="AQ495" s="85"/>
      <c r="AR495" s="85"/>
      <c r="AS495" s="85"/>
      <c r="AT495" s="85"/>
      <c r="AU495" s="85"/>
      <c r="AV495" s="85"/>
      <c r="AW495" s="85"/>
      <c r="AX495" s="85"/>
      <c r="AY495" s="85"/>
      <c r="AZ495" s="85"/>
      <c r="BA495" s="85"/>
    </row>
    <row r="496" spans="1:53" ht="15.75">
      <c r="A496" s="149"/>
      <c r="B496" s="305" t="s">
        <v>540</v>
      </c>
      <c r="C496" s="306"/>
      <c r="D496" s="271">
        <v>9</v>
      </c>
      <c r="E496" s="272"/>
      <c r="F496" s="278">
        <f t="shared" si="53"/>
        <v>22634.832254981164</v>
      </c>
      <c r="G496" s="279"/>
      <c r="H496" s="275">
        <f t="shared" si="49"/>
        <v>226.34832254981166</v>
      </c>
      <c r="I496" s="276"/>
      <c r="J496" s="277"/>
      <c r="K496" s="75">
        <f t="shared" si="54"/>
        <v>271.61798705977395</v>
      </c>
      <c r="L496" s="81" t="str">
        <f t="shared" si="50"/>
        <v>WIN</v>
      </c>
      <c r="M496" s="242">
        <f>IF(COUNTA($F$6:$F$10)=5,(F497-F24)/F24,"")</f>
        <v>1.2906450242040937</v>
      </c>
      <c r="N496" s="238">
        <f t="shared" si="51"/>
        <v>1</v>
      </c>
      <c r="O496" s="14" t="str">
        <f t="shared" si="52"/>
        <v>new</v>
      </c>
      <c r="P496" s="14"/>
      <c r="Q496" s="14"/>
      <c r="R496" s="14"/>
      <c r="S496" s="14"/>
      <c r="T496" s="14"/>
      <c r="U496" s="14"/>
      <c r="V496" s="14"/>
      <c r="W496" s="39" t="str">
        <f>IF(AND(L496="WIN",L497&lt;&gt;"WIN"),SUMIF(L$24:L496,"WIN",K$24:K496)-SUM(W$23:W495),"")</f>
        <v/>
      </c>
      <c r="X496" s="41" t="str">
        <f>IF(AND(L496="LOSS",L497&lt;&gt;"LOSS"),SUMIF(L$24:L496,"LOSS",K$24:K496)-SUM(X$23:X495),"")</f>
        <v/>
      </c>
      <c r="Y496" s="8"/>
      <c r="Z496" s="85"/>
      <c r="AA496" s="85"/>
      <c r="AB496" s="85"/>
      <c r="AC496" s="85"/>
      <c r="AD496" s="85"/>
      <c r="AE496" s="85"/>
      <c r="AF496" s="85"/>
      <c r="AG496" s="85"/>
      <c r="AH496" s="85"/>
      <c r="AI496" s="85"/>
      <c r="AJ496" s="85"/>
      <c r="AK496" s="85"/>
      <c r="AL496" s="85"/>
      <c r="AM496" s="85"/>
      <c r="AN496" s="85"/>
      <c r="AO496" s="85"/>
      <c r="AP496" s="85"/>
      <c r="AQ496" s="85"/>
      <c r="AR496" s="85"/>
      <c r="AS496" s="85"/>
      <c r="AT496" s="85"/>
      <c r="AU496" s="85"/>
      <c r="AV496" s="85"/>
      <c r="AW496" s="85"/>
      <c r="AX496" s="85"/>
      <c r="AY496" s="85"/>
      <c r="AZ496" s="85"/>
      <c r="BA496" s="85"/>
    </row>
    <row r="497" spans="1:53" ht="15.75">
      <c r="A497" s="149"/>
      <c r="B497" s="305" t="s">
        <v>541</v>
      </c>
      <c r="C497" s="306"/>
      <c r="D497" s="271">
        <v>2</v>
      </c>
      <c r="E497" s="272"/>
      <c r="F497" s="278">
        <f t="shared" si="53"/>
        <v>22906.450242040937</v>
      </c>
      <c r="G497" s="279"/>
      <c r="H497" s="275">
        <f t="shared" si="49"/>
        <v>229.06450242040938</v>
      </c>
      <c r="I497" s="276"/>
      <c r="J497" s="277"/>
      <c r="K497" s="75">
        <f t="shared" si="54"/>
        <v>274.87740290449125</v>
      </c>
      <c r="L497" s="81" t="str">
        <f t="shared" si="50"/>
        <v>WIN</v>
      </c>
      <c r="M497" s="242">
        <f>IF(COUNTA($F$6:$F$10)=5,(F498-F24)/F24,"")</f>
        <v>1.3181327644945429</v>
      </c>
      <c r="N497" s="238">
        <f t="shared" si="51"/>
        <v>2</v>
      </c>
      <c r="O497" s="14" t="str">
        <f t="shared" si="52"/>
        <v>middle</v>
      </c>
      <c r="P497" s="14"/>
      <c r="Q497" s="14"/>
      <c r="R497" s="14"/>
      <c r="S497" s="14"/>
      <c r="T497" s="14"/>
      <c r="U497" s="14"/>
      <c r="V497" s="14"/>
      <c r="W497" s="39" t="str">
        <f>IF(AND(L497="WIN",L498&lt;&gt;"WIN"),SUMIF(L$24:L497,"WIN",K$24:K497)-SUM(W$23:W496),"")</f>
        <v/>
      </c>
      <c r="X497" s="41" t="str">
        <f>IF(AND(L497="LOSS",L498&lt;&gt;"LOSS"),SUMIF(L$24:L497,"LOSS",K$24:K497)-SUM(X$23:X496),"")</f>
        <v/>
      </c>
      <c r="Y497" s="8"/>
      <c r="Z497" s="85"/>
      <c r="AA497" s="85"/>
      <c r="AB497" s="85"/>
      <c r="AC497" s="85"/>
      <c r="AD497" s="85"/>
      <c r="AE497" s="85"/>
      <c r="AF497" s="85"/>
      <c r="AG497" s="85"/>
      <c r="AH497" s="85"/>
      <c r="AI497" s="85"/>
      <c r="AJ497" s="85"/>
      <c r="AK497" s="85"/>
      <c r="AL497" s="85"/>
      <c r="AM497" s="85"/>
      <c r="AN497" s="85"/>
      <c r="AO497" s="85"/>
      <c r="AP497" s="85"/>
      <c r="AQ497" s="85"/>
      <c r="AR497" s="85"/>
      <c r="AS497" s="85"/>
      <c r="AT497" s="85"/>
      <c r="AU497" s="85"/>
      <c r="AV497" s="85"/>
      <c r="AW497" s="85"/>
      <c r="AX497" s="85"/>
      <c r="AY497" s="85"/>
      <c r="AZ497" s="85"/>
      <c r="BA497" s="85"/>
    </row>
    <row r="498" spans="1:53" ht="15.75">
      <c r="A498" s="149"/>
      <c r="B498" s="305" t="s">
        <v>542</v>
      </c>
      <c r="C498" s="306"/>
      <c r="D498" s="271">
        <v>47</v>
      </c>
      <c r="E498" s="272"/>
      <c r="F498" s="278">
        <f t="shared" si="53"/>
        <v>23181.327644945428</v>
      </c>
      <c r="G498" s="279"/>
      <c r="H498" s="275">
        <f t="shared" si="49"/>
        <v>231.81327644945429</v>
      </c>
      <c r="I498" s="276"/>
      <c r="J498" s="277"/>
      <c r="K498" s="75">
        <f t="shared" si="54"/>
        <v>278.17593173934512</v>
      </c>
      <c r="L498" s="81" t="str">
        <f t="shared" si="50"/>
        <v>WIN</v>
      </c>
      <c r="M498" s="242">
        <f>IF(COUNTA($F$6:$F$10)=5,(F499-F24)/F24,"")</f>
        <v>1.3459503576684773</v>
      </c>
      <c r="N498" s="238">
        <f t="shared" si="51"/>
        <v>3</v>
      </c>
      <c r="O498" s="14" t="str">
        <f t="shared" si="52"/>
        <v>last</v>
      </c>
      <c r="P498" s="14"/>
      <c r="Q498" s="14"/>
      <c r="R498" s="14"/>
      <c r="S498" s="14"/>
      <c r="T498" s="14"/>
      <c r="U498" s="14"/>
      <c r="V498" s="14"/>
      <c r="W498" s="39">
        <f>IF(AND(L498="WIN",L499&lt;&gt;"WIN"),SUMIF(L$24:L498,"WIN",K$24:K498)-SUM(W$23:W497),"")</f>
        <v>824.67132170361583</v>
      </c>
      <c r="X498" s="41" t="str">
        <f>IF(AND(L498="LOSS",L499&lt;&gt;"LOSS"),SUMIF(L$24:L498,"LOSS",K$24:K498)-SUM(X$23:X497),"")</f>
        <v/>
      </c>
      <c r="Y498" s="8"/>
      <c r="Z498" s="85"/>
      <c r="AA498" s="85"/>
      <c r="AB498" s="85"/>
      <c r="AC498" s="85"/>
      <c r="AD498" s="85"/>
      <c r="AE498" s="85"/>
      <c r="AF498" s="85"/>
      <c r="AG498" s="85"/>
      <c r="AH498" s="85"/>
      <c r="AI498" s="85"/>
      <c r="AJ498" s="85"/>
      <c r="AK498" s="85"/>
      <c r="AL498" s="85"/>
      <c r="AM498" s="85"/>
      <c r="AN498" s="85"/>
      <c r="AO498" s="85"/>
      <c r="AP498" s="85"/>
      <c r="AQ498" s="85"/>
      <c r="AR498" s="85"/>
      <c r="AS498" s="85"/>
      <c r="AT498" s="85"/>
      <c r="AU498" s="85"/>
      <c r="AV498" s="85"/>
      <c r="AW498" s="85"/>
      <c r="AX498" s="85"/>
      <c r="AY498" s="85"/>
      <c r="AZ498" s="85"/>
      <c r="BA498" s="85"/>
    </row>
    <row r="499" spans="1:53" ht="15.75">
      <c r="A499" s="149"/>
      <c r="B499" s="305" t="s">
        <v>543</v>
      </c>
      <c r="C499" s="306"/>
      <c r="D499" s="271">
        <v>72</v>
      </c>
      <c r="E499" s="272"/>
      <c r="F499" s="278">
        <f t="shared" si="53"/>
        <v>23459.503576684772</v>
      </c>
      <c r="G499" s="279"/>
      <c r="H499" s="275">
        <f t="shared" si="49"/>
        <v>234.59503576684773</v>
      </c>
      <c r="I499" s="276"/>
      <c r="J499" s="277"/>
      <c r="K499" s="75">
        <f t="shared" si="54"/>
        <v>-234.59503576684773</v>
      </c>
      <c r="L499" s="81" t="str">
        <f t="shared" si="50"/>
        <v>LOSS</v>
      </c>
      <c r="M499" s="242">
        <f>IF(COUNTA($F$6:$F$10)=5,(F500-F24)/F24,"")</f>
        <v>1.3224908540917923</v>
      </c>
      <c r="N499" s="238">
        <f t="shared" si="51"/>
        <v>1</v>
      </c>
      <c r="O499" s="14" t="str">
        <f t="shared" si="52"/>
        <v>last</v>
      </c>
      <c r="P499" s="14"/>
      <c r="Q499" s="14"/>
      <c r="R499" s="14"/>
      <c r="S499" s="14"/>
      <c r="T499" s="14"/>
      <c r="U499" s="14"/>
      <c r="V499" s="14"/>
      <c r="W499" s="39" t="str">
        <f>IF(AND(L499="WIN",L500&lt;&gt;"WIN"),SUMIF(L$24:L499,"WIN",K$24:K499)-SUM(W$23:W498),"")</f>
        <v/>
      </c>
      <c r="X499" s="41">
        <f>IF(AND(L499="LOSS",L500&lt;&gt;"LOSS"),SUMIF(L$24:L499,"LOSS",K$24:K499)-SUM(X$23:X498),"")</f>
        <v>-234.59503576684801</v>
      </c>
      <c r="Y499" s="8"/>
      <c r="Z499" s="85"/>
      <c r="AA499" s="85"/>
      <c r="AB499" s="85"/>
      <c r="AC499" s="85"/>
      <c r="AD499" s="85"/>
      <c r="AE499" s="85"/>
      <c r="AF499" s="85"/>
      <c r="AG499" s="85"/>
      <c r="AH499" s="85"/>
      <c r="AI499" s="85"/>
      <c r="AJ499" s="85"/>
      <c r="AK499" s="85"/>
      <c r="AL499" s="85"/>
      <c r="AM499" s="85"/>
      <c r="AN499" s="85"/>
      <c r="AO499" s="85"/>
      <c r="AP499" s="85"/>
      <c r="AQ499" s="85"/>
      <c r="AR499" s="85"/>
      <c r="AS499" s="85"/>
      <c r="AT499" s="85"/>
      <c r="AU499" s="85"/>
      <c r="AV499" s="85"/>
      <c r="AW499" s="85"/>
      <c r="AX499" s="85"/>
      <c r="AY499" s="85"/>
      <c r="AZ499" s="85"/>
      <c r="BA499" s="85"/>
    </row>
    <row r="500" spans="1:53" ht="15.75">
      <c r="A500" s="149"/>
      <c r="B500" s="305" t="s">
        <v>544</v>
      </c>
      <c r="C500" s="306"/>
      <c r="D500" s="271">
        <v>53</v>
      </c>
      <c r="E500" s="272"/>
      <c r="F500" s="278">
        <f t="shared" si="53"/>
        <v>23224.908540917924</v>
      </c>
      <c r="G500" s="279"/>
      <c r="H500" s="275">
        <f t="shared" si="49"/>
        <v>232.24908540917926</v>
      </c>
      <c r="I500" s="276"/>
      <c r="J500" s="277"/>
      <c r="K500" s="75">
        <f t="shared" si="54"/>
        <v>278.69890249101508</v>
      </c>
      <c r="L500" s="81" t="str">
        <f t="shared" si="50"/>
        <v>WIN</v>
      </c>
      <c r="M500" s="242">
        <f>IF(COUNTA($F$6:$F$10)=5,(F501-F24)/F24,"")</f>
        <v>1.3503607443408938</v>
      </c>
      <c r="N500" s="238">
        <f t="shared" si="51"/>
        <v>1</v>
      </c>
      <c r="O500" s="14" t="str">
        <f t="shared" si="52"/>
        <v>last</v>
      </c>
      <c r="P500" s="14"/>
      <c r="Q500" s="14"/>
      <c r="R500" s="14"/>
      <c r="S500" s="14"/>
      <c r="T500" s="14"/>
      <c r="U500" s="14"/>
      <c r="V500" s="14"/>
      <c r="W500" s="39">
        <f>IF(AND(L500="WIN",L501&lt;&gt;"WIN"),SUMIF(L$24:L500,"WIN",K$24:K500)-SUM(W$23:W499),"")</f>
        <v>278.69890249101445</v>
      </c>
      <c r="X500" s="41" t="str">
        <f>IF(AND(L500="LOSS",L501&lt;&gt;"LOSS"),SUMIF(L$24:L500,"LOSS",K$24:K500)-SUM(X$23:X499),"")</f>
        <v/>
      </c>
      <c r="Y500" s="8"/>
      <c r="Z500" s="85"/>
      <c r="AA500" s="85"/>
      <c r="AB500" s="85"/>
      <c r="AC500" s="85"/>
      <c r="AD500" s="85"/>
      <c r="AE500" s="85"/>
      <c r="AF500" s="85"/>
      <c r="AG500" s="85"/>
      <c r="AH500" s="85"/>
      <c r="AI500" s="85"/>
      <c r="AJ500" s="85"/>
      <c r="AK500" s="85"/>
      <c r="AL500" s="85"/>
      <c r="AM500" s="85"/>
      <c r="AN500" s="85"/>
      <c r="AO500" s="85"/>
      <c r="AP500" s="85"/>
      <c r="AQ500" s="85"/>
      <c r="AR500" s="85"/>
      <c r="AS500" s="85"/>
      <c r="AT500" s="85"/>
      <c r="AU500" s="85"/>
      <c r="AV500" s="85"/>
      <c r="AW500" s="85"/>
      <c r="AX500" s="85"/>
      <c r="AY500" s="85"/>
      <c r="AZ500" s="85"/>
      <c r="BA500" s="85"/>
    </row>
    <row r="501" spans="1:53" ht="15.75">
      <c r="A501" s="149"/>
      <c r="B501" s="305" t="s">
        <v>545</v>
      </c>
      <c r="C501" s="306"/>
      <c r="D501" s="271">
        <v>59</v>
      </c>
      <c r="E501" s="272"/>
      <c r="F501" s="278">
        <f t="shared" si="53"/>
        <v>23503.607443408939</v>
      </c>
      <c r="G501" s="279"/>
      <c r="H501" s="275">
        <f t="shared" si="49"/>
        <v>235.03607443408939</v>
      </c>
      <c r="I501" s="276"/>
      <c r="J501" s="277"/>
      <c r="K501" s="75">
        <f t="shared" si="54"/>
        <v>-235.03607443408939</v>
      </c>
      <c r="L501" s="81" t="str">
        <f t="shared" si="50"/>
        <v>LOSS</v>
      </c>
      <c r="M501" s="242">
        <f>IF(COUNTA($F$6:$F$10)=5,(F502-F24)/F24,"")</f>
        <v>1.3268571368974849</v>
      </c>
      <c r="N501" s="238">
        <f t="shared" si="51"/>
        <v>1</v>
      </c>
      <c r="O501" s="14" t="str">
        <f t="shared" si="52"/>
        <v>last</v>
      </c>
      <c r="P501" s="14"/>
      <c r="Q501" s="14"/>
      <c r="R501" s="14"/>
      <c r="S501" s="14"/>
      <c r="T501" s="14"/>
      <c r="U501" s="14"/>
      <c r="V501" s="14"/>
      <c r="W501" s="39" t="str">
        <f>IF(AND(L501="WIN",L502&lt;&gt;"WIN"),SUMIF(L$24:L501,"WIN",K$24:K501)-SUM(W$23:W500),"")</f>
        <v/>
      </c>
      <c r="X501" s="41">
        <f>IF(AND(L501="LOSS",L502&lt;&gt;"LOSS"),SUMIF(L$24:L501,"LOSS",K$24:K501)-SUM(X$23:X500),"")</f>
        <v>-235.03607443408691</v>
      </c>
      <c r="Y501" s="8"/>
      <c r="Z501" s="85"/>
      <c r="AA501" s="85"/>
      <c r="AB501" s="85"/>
      <c r="AC501" s="85"/>
      <c r="AD501" s="85"/>
      <c r="AE501" s="85"/>
      <c r="AF501" s="85"/>
      <c r="AG501" s="85"/>
      <c r="AH501" s="85"/>
      <c r="AI501" s="85"/>
      <c r="AJ501" s="85"/>
      <c r="AK501" s="85"/>
      <c r="AL501" s="85"/>
      <c r="AM501" s="85"/>
      <c r="AN501" s="85"/>
      <c r="AO501" s="85"/>
      <c r="AP501" s="85"/>
      <c r="AQ501" s="85"/>
      <c r="AR501" s="85"/>
      <c r="AS501" s="85"/>
      <c r="AT501" s="85"/>
      <c r="AU501" s="85"/>
      <c r="AV501" s="85"/>
      <c r="AW501" s="85"/>
      <c r="AX501" s="85"/>
      <c r="AY501" s="85"/>
      <c r="AZ501" s="85"/>
      <c r="BA501" s="85"/>
    </row>
    <row r="502" spans="1:53" ht="15.75">
      <c r="A502" s="149"/>
      <c r="B502" s="305" t="s">
        <v>546</v>
      </c>
      <c r="C502" s="306"/>
      <c r="D502" s="271">
        <v>34</v>
      </c>
      <c r="E502" s="272"/>
      <c r="F502" s="278">
        <f t="shared" si="53"/>
        <v>23268.571368974848</v>
      </c>
      <c r="G502" s="279"/>
      <c r="H502" s="275">
        <f t="shared" si="49"/>
        <v>232.6857136897485</v>
      </c>
      <c r="I502" s="276"/>
      <c r="J502" s="277"/>
      <c r="K502" s="75">
        <f t="shared" si="54"/>
        <v>279.22285642769816</v>
      </c>
      <c r="L502" s="81" t="str">
        <f t="shared" si="50"/>
        <v>WIN</v>
      </c>
      <c r="M502" s="242">
        <f>IF(COUNTA($F$6:$F$10)=5,(F503-F24)/F24,"")</f>
        <v>1.3547794225402547</v>
      </c>
      <c r="N502" s="238">
        <f t="shared" si="51"/>
        <v>1</v>
      </c>
      <c r="O502" s="14" t="str">
        <f t="shared" si="52"/>
        <v>new</v>
      </c>
      <c r="P502" s="14"/>
      <c r="Q502" s="14"/>
      <c r="R502" s="14"/>
      <c r="S502" s="14"/>
      <c r="T502" s="14"/>
      <c r="U502" s="14"/>
      <c r="V502" s="14"/>
      <c r="W502" s="39" t="str">
        <f>IF(AND(L502="WIN",L503&lt;&gt;"WIN"),SUMIF(L$24:L502,"WIN",K$24:K502)-SUM(W$23:W501),"")</f>
        <v/>
      </c>
      <c r="X502" s="41" t="str">
        <f>IF(AND(L502="LOSS",L503&lt;&gt;"LOSS"),SUMIF(L$24:L502,"LOSS",K$24:K502)-SUM(X$23:X501),"")</f>
        <v/>
      </c>
      <c r="Y502" s="8"/>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row>
    <row r="503" spans="1:53" ht="15.75">
      <c r="A503" s="149"/>
      <c r="B503" s="305" t="s">
        <v>547</v>
      </c>
      <c r="C503" s="306"/>
      <c r="D503" s="271">
        <v>30</v>
      </c>
      <c r="E503" s="272"/>
      <c r="F503" s="278">
        <f t="shared" si="53"/>
        <v>23547.794225402547</v>
      </c>
      <c r="G503" s="279"/>
      <c r="H503" s="275">
        <f t="shared" si="49"/>
        <v>235.47794225402549</v>
      </c>
      <c r="I503" s="276"/>
      <c r="J503" s="277"/>
      <c r="K503" s="75">
        <f t="shared" si="54"/>
        <v>282.5735307048306</v>
      </c>
      <c r="L503" s="81" t="str">
        <f t="shared" si="50"/>
        <v>WIN</v>
      </c>
      <c r="M503" s="242">
        <f>IF(COUNTA($F$6:$F$10)=5,(F504-F24)/F24,"")</f>
        <v>1.3830367756107378</v>
      </c>
      <c r="N503" s="238">
        <f t="shared" si="51"/>
        <v>2</v>
      </c>
      <c r="O503" s="14" t="str">
        <f t="shared" si="52"/>
        <v>middle</v>
      </c>
      <c r="P503" s="14"/>
      <c r="Q503" s="14"/>
      <c r="R503" s="14"/>
      <c r="S503" s="14"/>
      <c r="T503" s="14"/>
      <c r="U503" s="14"/>
      <c r="V503" s="14"/>
      <c r="W503" s="39" t="str">
        <f>IF(AND(L503="WIN",L504&lt;&gt;"WIN"),SUMIF(L$24:L503,"WIN",K$24:K503)-SUM(W$23:W502),"")</f>
        <v/>
      </c>
      <c r="X503" s="41" t="str">
        <f>IF(AND(L503="LOSS",L504&lt;&gt;"LOSS"),SUMIF(L$24:L503,"LOSS",K$24:K503)-SUM(X$23:X502),"")</f>
        <v/>
      </c>
      <c r="Y503" s="8"/>
      <c r="Z503" s="85"/>
      <c r="AA503" s="85"/>
      <c r="AB503" s="85"/>
      <c r="AC503" s="85"/>
      <c r="AD503" s="85"/>
      <c r="AE503" s="85"/>
      <c r="AF503" s="85"/>
      <c r="AG503" s="85"/>
      <c r="AH503" s="85"/>
      <c r="AI503" s="85"/>
      <c r="AJ503" s="85"/>
      <c r="AK503" s="85"/>
      <c r="AL503" s="85"/>
      <c r="AM503" s="85"/>
      <c r="AN503" s="85"/>
      <c r="AO503" s="85"/>
      <c r="AP503" s="85"/>
      <c r="AQ503" s="85"/>
      <c r="AR503" s="85"/>
      <c r="AS503" s="85"/>
      <c r="AT503" s="85"/>
      <c r="AU503" s="85"/>
      <c r="AV503" s="85"/>
      <c r="AW503" s="85"/>
      <c r="AX503" s="85"/>
      <c r="AY503" s="85"/>
      <c r="AZ503" s="85"/>
      <c r="BA503" s="85"/>
    </row>
    <row r="504" spans="1:53" ht="15.75">
      <c r="A504" s="149"/>
      <c r="B504" s="305" t="s">
        <v>548</v>
      </c>
      <c r="C504" s="306"/>
      <c r="D504" s="271">
        <v>22</v>
      </c>
      <c r="E504" s="272"/>
      <c r="F504" s="278">
        <f t="shared" si="53"/>
        <v>23830.367756107378</v>
      </c>
      <c r="G504" s="279"/>
      <c r="H504" s="275">
        <f t="shared" si="49"/>
        <v>238.30367756107378</v>
      </c>
      <c r="I504" s="276"/>
      <c r="J504" s="277"/>
      <c r="K504" s="75">
        <f t="shared" si="54"/>
        <v>285.96441307328854</v>
      </c>
      <c r="L504" s="81" t="str">
        <f t="shared" si="50"/>
        <v>WIN</v>
      </c>
      <c r="M504" s="242">
        <f>IF(COUNTA($F$6:$F$10)=5,(F505-F24)/F24,"")</f>
        <v>1.4116332169180668</v>
      </c>
      <c r="N504" s="238">
        <f t="shared" si="51"/>
        <v>3</v>
      </c>
      <c r="O504" s="14" t="str">
        <f t="shared" si="52"/>
        <v>middle</v>
      </c>
      <c r="P504" s="14"/>
      <c r="Q504" s="14"/>
      <c r="R504" s="14"/>
      <c r="S504" s="14"/>
      <c r="T504" s="14"/>
      <c r="U504" s="14"/>
      <c r="V504" s="14"/>
      <c r="W504" s="39" t="str">
        <f>IF(AND(L504="WIN",L505&lt;&gt;"WIN"),SUMIF(L$24:L504,"WIN",K$24:K504)-SUM(W$23:W503),"")</f>
        <v/>
      </c>
      <c r="X504" s="41" t="str">
        <f>IF(AND(L504="LOSS",L505&lt;&gt;"LOSS"),SUMIF(L$24:L504,"LOSS",K$24:K504)-SUM(X$23:X503),"")</f>
        <v/>
      </c>
      <c r="Y504" s="8"/>
      <c r="Z504" s="85"/>
      <c r="AA504" s="85"/>
      <c r="AB504" s="85"/>
      <c r="AC504" s="85"/>
      <c r="AD504" s="85"/>
      <c r="AE504" s="85"/>
      <c r="AF504" s="85"/>
      <c r="AG504" s="85"/>
      <c r="AH504" s="85"/>
      <c r="AI504" s="85"/>
      <c r="AJ504" s="85"/>
      <c r="AK504" s="85"/>
      <c r="AL504" s="85"/>
      <c r="AM504" s="85"/>
      <c r="AN504" s="85"/>
      <c r="AO504" s="85"/>
      <c r="AP504" s="85"/>
      <c r="AQ504" s="85"/>
      <c r="AR504" s="85"/>
      <c r="AS504" s="85"/>
      <c r="AT504" s="85"/>
      <c r="AU504" s="85"/>
      <c r="AV504" s="85"/>
      <c r="AW504" s="85"/>
      <c r="AX504" s="85"/>
      <c r="AY504" s="85"/>
      <c r="AZ504" s="85"/>
      <c r="BA504" s="85"/>
    </row>
    <row r="505" spans="1:53" ht="15.75">
      <c r="A505" s="149"/>
      <c r="B505" s="305" t="s">
        <v>549</v>
      </c>
      <c r="C505" s="306"/>
      <c r="D505" s="271">
        <v>45</v>
      </c>
      <c r="E505" s="272"/>
      <c r="F505" s="278">
        <f t="shared" si="53"/>
        <v>24116.332169180667</v>
      </c>
      <c r="G505" s="279"/>
      <c r="H505" s="275">
        <f t="shared" si="49"/>
        <v>241.16332169180669</v>
      </c>
      <c r="I505" s="276"/>
      <c r="J505" s="277"/>
      <c r="K505" s="75">
        <f t="shared" si="54"/>
        <v>289.39598603016799</v>
      </c>
      <c r="L505" s="81" t="str">
        <f t="shared" si="50"/>
        <v>WIN</v>
      </c>
      <c r="M505" s="242">
        <f>IF(COUNTA($F$6:$F$10)=5,(F506-F24)/F24,"")</f>
        <v>1.4405728155210835</v>
      </c>
      <c r="N505" s="238">
        <f t="shared" si="51"/>
        <v>4</v>
      </c>
      <c r="O505" s="14" t="str">
        <f t="shared" si="52"/>
        <v>last</v>
      </c>
      <c r="P505" s="14"/>
      <c r="Q505" s="14"/>
      <c r="R505" s="14"/>
      <c r="S505" s="14"/>
      <c r="T505" s="14"/>
      <c r="U505" s="14"/>
      <c r="V505" s="14"/>
      <c r="W505" s="39">
        <f>IF(AND(L505="WIN",L506&lt;&gt;"WIN"),SUMIF(L$24:L505,"WIN",K$24:K505)-SUM(W$23:W504),"")</f>
        <v>1137.1567862359807</v>
      </c>
      <c r="X505" s="41" t="str">
        <f>IF(AND(L505="LOSS",L506&lt;&gt;"LOSS"),SUMIF(L$24:L505,"LOSS",K$24:K505)-SUM(X$23:X504),"")</f>
        <v/>
      </c>
      <c r="Y505" s="8"/>
      <c r="Z505" s="85"/>
      <c r="AA505" s="85"/>
      <c r="AB505" s="85"/>
      <c r="AC505" s="85"/>
      <c r="AD505" s="85"/>
      <c r="AE505" s="85"/>
      <c r="AF505" s="85"/>
      <c r="AG505" s="85"/>
      <c r="AH505" s="85"/>
      <c r="AI505" s="85"/>
      <c r="AJ505" s="85"/>
      <c r="AK505" s="85"/>
      <c r="AL505" s="85"/>
      <c r="AM505" s="85"/>
      <c r="AN505" s="85"/>
      <c r="AO505" s="85"/>
      <c r="AP505" s="85"/>
      <c r="AQ505" s="85"/>
      <c r="AR505" s="85"/>
      <c r="AS505" s="85"/>
      <c r="AT505" s="85"/>
      <c r="AU505" s="85"/>
      <c r="AV505" s="85"/>
      <c r="AW505" s="85"/>
      <c r="AX505" s="85"/>
      <c r="AY505" s="85"/>
      <c r="AZ505" s="85"/>
      <c r="BA505" s="85"/>
    </row>
    <row r="506" spans="1:53" ht="15.75">
      <c r="A506" s="149"/>
      <c r="B506" s="305" t="s">
        <v>550</v>
      </c>
      <c r="C506" s="306"/>
      <c r="D506" s="271">
        <v>87</v>
      </c>
      <c r="E506" s="272"/>
      <c r="F506" s="278">
        <f t="shared" si="53"/>
        <v>24405.728155210836</v>
      </c>
      <c r="G506" s="279"/>
      <c r="H506" s="275">
        <f t="shared" si="49"/>
        <v>244.05728155210838</v>
      </c>
      <c r="I506" s="276"/>
      <c r="J506" s="277"/>
      <c r="K506" s="75">
        <f t="shared" si="54"/>
        <v>-244.05728155210838</v>
      </c>
      <c r="L506" s="81" t="str">
        <f t="shared" si="50"/>
        <v>LOSS</v>
      </c>
      <c r="M506" s="242">
        <f>IF(COUNTA($F$6:$F$10)=5,(F507-F24)/F24,"")</f>
        <v>1.4161670873658727</v>
      </c>
      <c r="N506" s="238">
        <f t="shared" si="51"/>
        <v>1</v>
      </c>
      <c r="O506" s="14" t="str">
        <f t="shared" si="52"/>
        <v>new</v>
      </c>
      <c r="P506" s="14"/>
      <c r="Q506" s="14"/>
      <c r="R506" s="14"/>
      <c r="S506" s="14"/>
      <c r="T506" s="14"/>
      <c r="U506" s="14"/>
      <c r="V506" s="14"/>
      <c r="W506" s="39" t="str">
        <f>IF(AND(L506="WIN",L507&lt;&gt;"WIN"),SUMIF(L$24:L506,"WIN",K$24:K506)-SUM(W$23:W505),"")</f>
        <v/>
      </c>
      <c r="X506" s="41" t="str">
        <f>IF(AND(L506="LOSS",L507&lt;&gt;"LOSS"),SUMIF(L$24:L506,"LOSS",K$24:K506)-SUM(X$23:X505),"")</f>
        <v/>
      </c>
      <c r="Y506" s="8"/>
      <c r="Z506" s="85"/>
      <c r="AA506" s="85"/>
      <c r="AB506" s="85"/>
      <c r="AC506" s="85"/>
      <c r="AD506" s="85"/>
      <c r="AE506" s="85"/>
      <c r="AF506" s="85"/>
      <c r="AG506" s="85"/>
      <c r="AH506" s="85"/>
      <c r="AI506" s="85"/>
      <c r="AJ506" s="85"/>
      <c r="AK506" s="85"/>
      <c r="AL506" s="85"/>
      <c r="AM506" s="85"/>
      <c r="AN506" s="85"/>
      <c r="AO506" s="85"/>
      <c r="AP506" s="85"/>
      <c r="AQ506" s="85"/>
      <c r="AR506" s="85"/>
      <c r="AS506" s="85"/>
      <c r="AT506" s="85"/>
      <c r="AU506" s="85"/>
      <c r="AV506" s="85"/>
      <c r="AW506" s="85"/>
      <c r="AX506" s="85"/>
      <c r="AY506" s="85"/>
      <c r="AZ506" s="85"/>
      <c r="BA506" s="85"/>
    </row>
    <row r="507" spans="1:53" ht="15.75">
      <c r="A507" s="149"/>
      <c r="B507" s="305" t="s">
        <v>551</v>
      </c>
      <c r="C507" s="306"/>
      <c r="D507" s="271">
        <v>98</v>
      </c>
      <c r="E507" s="272"/>
      <c r="F507" s="278">
        <f t="shared" si="53"/>
        <v>24161.670873658728</v>
      </c>
      <c r="G507" s="279"/>
      <c r="H507" s="275">
        <f t="shared" si="49"/>
        <v>241.61670873658727</v>
      </c>
      <c r="I507" s="276"/>
      <c r="J507" s="277"/>
      <c r="K507" s="75">
        <f t="shared" si="54"/>
        <v>-241.61670873658727</v>
      </c>
      <c r="L507" s="81" t="str">
        <f t="shared" si="50"/>
        <v>LOSS</v>
      </c>
      <c r="M507" s="242">
        <f>IF(COUNTA($F$6:$F$10)=5,(F508-F24)/F24,"")</f>
        <v>1.3920054164922142</v>
      </c>
      <c r="N507" s="238">
        <f t="shared" si="51"/>
        <v>2</v>
      </c>
      <c r="O507" s="14" t="str">
        <f t="shared" si="52"/>
        <v>last</v>
      </c>
      <c r="P507" s="14"/>
      <c r="Q507" s="14"/>
      <c r="R507" s="14"/>
      <c r="S507" s="14"/>
      <c r="T507" s="14"/>
      <c r="U507" s="14"/>
      <c r="V507" s="14"/>
      <c r="W507" s="39" t="str">
        <f>IF(AND(L507="WIN",L508&lt;&gt;"WIN"),SUMIF(L$24:L507,"WIN",K$24:K507)-SUM(W$23:W506),"")</f>
        <v/>
      </c>
      <c r="X507" s="41">
        <f>IF(AND(L507="LOSS",L508&lt;&gt;"LOSS"),SUMIF(L$24:L507,"LOSS",K$24:K507)-SUM(X$23:X506),"")</f>
        <v>-485.67399028869841</v>
      </c>
      <c r="Y507" s="8"/>
      <c r="Z507" s="85"/>
      <c r="AA507" s="85"/>
      <c r="AB507" s="85"/>
      <c r="AC507" s="85"/>
      <c r="AD507" s="85"/>
      <c r="AE507" s="85"/>
      <c r="AF507" s="85"/>
      <c r="AG507" s="85"/>
      <c r="AH507" s="85"/>
      <c r="AI507" s="85"/>
      <c r="AJ507" s="85"/>
      <c r="AK507" s="85"/>
      <c r="AL507" s="85"/>
      <c r="AM507" s="85"/>
      <c r="AN507" s="85"/>
      <c r="AO507" s="85"/>
      <c r="AP507" s="85"/>
      <c r="AQ507" s="85"/>
      <c r="AR507" s="85"/>
      <c r="AS507" s="85"/>
      <c r="AT507" s="85"/>
      <c r="AU507" s="85"/>
      <c r="AV507" s="85"/>
      <c r="AW507" s="85"/>
      <c r="AX507" s="85"/>
      <c r="AY507" s="85"/>
      <c r="AZ507" s="85"/>
      <c r="BA507" s="85"/>
    </row>
    <row r="508" spans="1:53" ht="15.75">
      <c r="A508" s="149"/>
      <c r="B508" s="305" t="s">
        <v>552</v>
      </c>
      <c r="C508" s="306"/>
      <c r="D508" s="271">
        <v>46</v>
      </c>
      <c r="E508" s="272"/>
      <c r="F508" s="278">
        <f t="shared" si="53"/>
        <v>23920.054164922141</v>
      </c>
      <c r="G508" s="279"/>
      <c r="H508" s="275">
        <f t="shared" si="49"/>
        <v>239.20054164922141</v>
      </c>
      <c r="I508" s="276"/>
      <c r="J508" s="277"/>
      <c r="K508" s="75">
        <f t="shared" si="54"/>
        <v>287.04064997906568</v>
      </c>
      <c r="L508" s="81" t="str">
        <f t="shared" si="50"/>
        <v>WIN</v>
      </c>
      <c r="M508" s="242">
        <f>IF(COUNTA($F$6:$F$10)=5,(F509-F24)/F24,"")</f>
        <v>1.4207094814901207</v>
      </c>
      <c r="N508" s="238">
        <f t="shared" si="51"/>
        <v>1</v>
      </c>
      <c r="O508" s="14" t="str">
        <f t="shared" si="52"/>
        <v>new</v>
      </c>
      <c r="P508" s="14"/>
      <c r="Q508" s="14"/>
      <c r="R508" s="14"/>
      <c r="S508" s="14"/>
      <c r="T508" s="14"/>
      <c r="U508" s="14"/>
      <c r="V508" s="14"/>
      <c r="W508" s="39" t="str">
        <f>IF(AND(L508="WIN",L509&lt;&gt;"WIN"),SUMIF(L$24:L508,"WIN",K$24:K508)-SUM(W$23:W507),"")</f>
        <v/>
      </c>
      <c r="X508" s="41" t="str">
        <f>IF(AND(L508="LOSS",L509&lt;&gt;"LOSS"),SUMIF(L$24:L508,"LOSS",K$24:K508)-SUM(X$23:X507),"")</f>
        <v/>
      </c>
      <c r="Y508" s="8"/>
      <c r="Z508" s="85"/>
      <c r="AA508" s="85"/>
      <c r="AB508" s="85"/>
      <c r="AC508" s="85"/>
      <c r="AD508" s="85"/>
      <c r="AE508" s="85"/>
      <c r="AF508" s="85"/>
      <c r="AG508" s="85"/>
      <c r="AH508" s="85"/>
      <c r="AI508" s="85"/>
      <c r="AJ508" s="85"/>
      <c r="AK508" s="85"/>
      <c r="AL508" s="85"/>
      <c r="AM508" s="85"/>
      <c r="AN508" s="85"/>
      <c r="AO508" s="85"/>
      <c r="AP508" s="85"/>
      <c r="AQ508" s="85"/>
      <c r="AR508" s="85"/>
      <c r="AS508" s="85"/>
      <c r="AT508" s="85"/>
      <c r="AU508" s="85"/>
      <c r="AV508" s="85"/>
      <c r="AW508" s="85"/>
      <c r="AX508" s="85"/>
      <c r="AY508" s="85"/>
      <c r="AZ508" s="85"/>
      <c r="BA508" s="85"/>
    </row>
    <row r="509" spans="1:53" ht="15.75">
      <c r="A509" s="149"/>
      <c r="B509" s="305" t="s">
        <v>553</v>
      </c>
      <c r="C509" s="306"/>
      <c r="D509" s="271">
        <v>48</v>
      </c>
      <c r="E509" s="272"/>
      <c r="F509" s="278">
        <f t="shared" si="53"/>
        <v>24207.094814901207</v>
      </c>
      <c r="G509" s="279"/>
      <c r="H509" s="275">
        <f t="shared" si="49"/>
        <v>242.07094814901208</v>
      </c>
      <c r="I509" s="276"/>
      <c r="J509" s="277"/>
      <c r="K509" s="75">
        <f t="shared" si="54"/>
        <v>290.48513777881448</v>
      </c>
      <c r="L509" s="81" t="str">
        <f t="shared" si="50"/>
        <v>WIN</v>
      </c>
      <c r="M509" s="242">
        <f>IF(COUNTA($F$6:$F$10)=5,(F510-F24)/F24,"")</f>
        <v>1.4497579952680022</v>
      </c>
      <c r="N509" s="238">
        <f t="shared" si="51"/>
        <v>2</v>
      </c>
      <c r="O509" s="14" t="str">
        <f t="shared" si="52"/>
        <v>middle</v>
      </c>
      <c r="P509" s="14"/>
      <c r="Q509" s="14"/>
      <c r="R509" s="14"/>
      <c r="S509" s="14"/>
      <c r="T509" s="14"/>
      <c r="U509" s="14"/>
      <c r="V509" s="14"/>
      <c r="W509" s="39" t="str">
        <f>IF(AND(L509="WIN",L510&lt;&gt;"WIN"),SUMIF(L$24:L509,"WIN",K$24:K509)-SUM(W$23:W508),"")</f>
        <v/>
      </c>
      <c r="X509" s="41" t="str">
        <f>IF(AND(L509="LOSS",L510&lt;&gt;"LOSS"),SUMIF(L$24:L509,"LOSS",K$24:K509)-SUM(X$23:X508),"")</f>
        <v/>
      </c>
      <c r="Y509" s="8"/>
      <c r="Z509" s="85"/>
      <c r="AA509" s="85"/>
      <c r="AB509" s="85"/>
      <c r="AC509" s="85"/>
      <c r="AD509" s="85"/>
      <c r="AE509" s="85"/>
      <c r="AF509" s="85"/>
      <c r="AG509" s="85"/>
      <c r="AH509" s="85"/>
      <c r="AI509" s="85"/>
      <c r="AJ509" s="85"/>
      <c r="AK509" s="85"/>
      <c r="AL509" s="85"/>
      <c r="AM509" s="85"/>
      <c r="AN509" s="85"/>
      <c r="AO509" s="85"/>
      <c r="AP509" s="85"/>
      <c r="AQ509" s="85"/>
      <c r="AR509" s="85"/>
      <c r="AS509" s="85"/>
      <c r="AT509" s="85"/>
      <c r="AU509" s="85"/>
      <c r="AV509" s="85"/>
      <c r="AW509" s="85"/>
      <c r="AX509" s="85"/>
      <c r="AY509" s="85"/>
      <c r="AZ509" s="85"/>
      <c r="BA509" s="85"/>
    </row>
    <row r="510" spans="1:53" ht="15.75">
      <c r="A510" s="149"/>
      <c r="B510" s="305" t="s">
        <v>554</v>
      </c>
      <c r="C510" s="306"/>
      <c r="D510" s="271">
        <v>30</v>
      </c>
      <c r="E510" s="272"/>
      <c r="F510" s="278">
        <f t="shared" si="53"/>
        <v>24497.579952680022</v>
      </c>
      <c r="G510" s="279"/>
      <c r="H510" s="275">
        <f t="shared" si="49"/>
        <v>244.97579952680022</v>
      </c>
      <c r="I510" s="276"/>
      <c r="J510" s="277"/>
      <c r="K510" s="75">
        <f t="shared" si="54"/>
        <v>293.97095943216027</v>
      </c>
      <c r="L510" s="81" t="str">
        <f t="shared" si="50"/>
        <v>WIN</v>
      </c>
      <c r="M510" s="242">
        <f>IF(COUNTA($F$6:$F$10)=5,(F511-F24)/F24,"")</f>
        <v>1.4791550912112184</v>
      </c>
      <c r="N510" s="238">
        <f t="shared" si="51"/>
        <v>3</v>
      </c>
      <c r="O510" s="14" t="str">
        <f t="shared" si="52"/>
        <v>last</v>
      </c>
      <c r="P510" s="14"/>
      <c r="Q510" s="14"/>
      <c r="R510" s="14"/>
      <c r="S510" s="14"/>
      <c r="T510" s="14"/>
      <c r="U510" s="14"/>
      <c r="V510" s="14"/>
      <c r="W510" s="39">
        <f>IF(AND(L510="WIN",L511&lt;&gt;"WIN"),SUMIF(L$24:L510,"WIN",K$24:K510)-SUM(W$23:W509),"")</f>
        <v>871.49674719003815</v>
      </c>
      <c r="X510" s="41" t="str">
        <f>IF(AND(L510="LOSS",L511&lt;&gt;"LOSS"),SUMIF(L$24:L510,"LOSS",K$24:K510)-SUM(X$23:X509),"")</f>
        <v/>
      </c>
      <c r="Y510" s="8"/>
      <c r="Z510" s="85"/>
      <c r="AA510" s="85"/>
      <c r="AB510" s="85"/>
      <c r="AC510" s="85"/>
      <c r="AD510" s="85"/>
      <c r="AE510" s="85"/>
      <c r="AF510" s="85"/>
      <c r="AG510" s="85"/>
      <c r="AH510" s="85"/>
      <c r="AI510" s="85"/>
      <c r="AJ510" s="85"/>
      <c r="AK510" s="85"/>
      <c r="AL510" s="85"/>
      <c r="AM510" s="85"/>
      <c r="AN510" s="85"/>
      <c r="AO510" s="85"/>
      <c r="AP510" s="85"/>
      <c r="AQ510" s="85"/>
      <c r="AR510" s="85"/>
      <c r="AS510" s="85"/>
      <c r="AT510" s="85"/>
      <c r="AU510" s="85"/>
      <c r="AV510" s="85"/>
      <c r="AW510" s="85"/>
      <c r="AX510" s="85"/>
      <c r="AY510" s="85"/>
      <c r="AZ510" s="85"/>
      <c r="BA510" s="85"/>
    </row>
    <row r="511" spans="1:53" ht="15.75">
      <c r="A511" s="149"/>
      <c r="B511" s="305" t="s">
        <v>555</v>
      </c>
      <c r="C511" s="306"/>
      <c r="D511" s="271">
        <v>84</v>
      </c>
      <c r="E511" s="272"/>
      <c r="F511" s="278">
        <f t="shared" si="53"/>
        <v>24791.550912112183</v>
      </c>
      <c r="G511" s="279"/>
      <c r="H511" s="275">
        <f t="shared" si="49"/>
        <v>247.91550912112183</v>
      </c>
      <c r="I511" s="276"/>
      <c r="J511" s="277"/>
      <c r="K511" s="75">
        <f t="shared" si="54"/>
        <v>-247.91550912112183</v>
      </c>
      <c r="L511" s="81" t="str">
        <f t="shared" si="50"/>
        <v>LOSS</v>
      </c>
      <c r="M511" s="242">
        <f>IF(COUNTA($F$6:$F$10)=5,(F512-F24)/F24,"")</f>
        <v>1.4543635402991062</v>
      </c>
      <c r="N511" s="238">
        <f t="shared" si="51"/>
        <v>1</v>
      </c>
      <c r="O511" s="14" t="str">
        <f t="shared" si="52"/>
        <v>last</v>
      </c>
      <c r="P511" s="14"/>
      <c r="Q511" s="14"/>
      <c r="R511" s="14"/>
      <c r="S511" s="14"/>
      <c r="T511" s="14"/>
      <c r="U511" s="14"/>
      <c r="V511" s="14"/>
      <c r="W511" s="39" t="str">
        <f>IF(AND(L511="WIN",L512&lt;&gt;"WIN"),SUMIF(L$24:L511,"WIN",K$24:K511)-SUM(W$23:W510),"")</f>
        <v/>
      </c>
      <c r="X511" s="41">
        <f>IF(AND(L511="LOSS",L512&lt;&gt;"LOSS"),SUMIF(L$24:L511,"LOSS",K$24:K511)-SUM(X$23:X510),"")</f>
        <v>-247.91550912112143</v>
      </c>
      <c r="Y511" s="8"/>
      <c r="Z511" s="85"/>
      <c r="AA511" s="85"/>
      <c r="AB511" s="85"/>
      <c r="AC511" s="85"/>
      <c r="AD511" s="85"/>
      <c r="AE511" s="85"/>
      <c r="AF511" s="85"/>
      <c r="AG511" s="85"/>
      <c r="AH511" s="85"/>
      <c r="AI511" s="85"/>
      <c r="AJ511" s="85"/>
      <c r="AK511" s="85"/>
      <c r="AL511" s="85"/>
      <c r="AM511" s="85"/>
      <c r="AN511" s="85"/>
      <c r="AO511" s="85"/>
      <c r="AP511" s="85"/>
      <c r="AQ511" s="85"/>
      <c r="AR511" s="85"/>
      <c r="AS511" s="85"/>
      <c r="AT511" s="85"/>
      <c r="AU511" s="85"/>
      <c r="AV511" s="85"/>
      <c r="AW511" s="85"/>
      <c r="AX511" s="85"/>
      <c r="AY511" s="85"/>
      <c r="AZ511" s="85"/>
      <c r="BA511" s="85"/>
    </row>
    <row r="512" spans="1:53" ht="15.75">
      <c r="A512" s="149"/>
      <c r="B512" s="305" t="s">
        <v>556</v>
      </c>
      <c r="C512" s="306"/>
      <c r="D512" s="271">
        <v>14</v>
      </c>
      <c r="E512" s="272"/>
      <c r="F512" s="278">
        <f t="shared" si="53"/>
        <v>24543.635402991062</v>
      </c>
      <c r="G512" s="279"/>
      <c r="H512" s="275">
        <f t="shared" si="49"/>
        <v>245.43635402991063</v>
      </c>
      <c r="I512" s="276"/>
      <c r="J512" s="277"/>
      <c r="K512" s="75">
        <f t="shared" si="54"/>
        <v>294.52362483589275</v>
      </c>
      <c r="L512" s="81" t="str">
        <f t="shared" si="50"/>
        <v>WIN</v>
      </c>
      <c r="M512" s="242">
        <f>IF(COUNTA($F$6:$F$10)=5,(F513-F24)/F24,"")</f>
        <v>1.4838159027826954</v>
      </c>
      <c r="N512" s="238">
        <f t="shared" si="51"/>
        <v>1</v>
      </c>
      <c r="O512" s="14" t="str">
        <f t="shared" si="52"/>
        <v>last</v>
      </c>
      <c r="P512" s="14"/>
      <c r="Q512" s="14"/>
      <c r="R512" s="14"/>
      <c r="S512" s="14"/>
      <c r="T512" s="14"/>
      <c r="U512" s="14"/>
      <c r="V512" s="14"/>
      <c r="W512" s="39">
        <f>IF(AND(L512="WIN",L513&lt;&gt;"WIN"),SUMIF(L$24:L512,"WIN",K$24:K512)-SUM(W$23:W511),"")</f>
        <v>294.52362483589241</v>
      </c>
      <c r="X512" s="41" t="str">
        <f>IF(AND(L512="LOSS",L513&lt;&gt;"LOSS"),SUMIF(L$24:L512,"LOSS",K$24:K512)-SUM(X$23:X511),"")</f>
        <v/>
      </c>
      <c r="Y512" s="8"/>
      <c r="Z512" s="85"/>
      <c r="AA512" s="85"/>
      <c r="AB512" s="85"/>
      <c r="AC512" s="85"/>
      <c r="AD512" s="85"/>
      <c r="AE512" s="85"/>
      <c r="AF512" s="85"/>
      <c r="AG512" s="85"/>
      <c r="AH512" s="85"/>
      <c r="AI512" s="85"/>
      <c r="AJ512" s="85"/>
      <c r="AK512" s="85"/>
      <c r="AL512" s="85"/>
      <c r="AM512" s="85"/>
      <c r="AN512" s="85"/>
      <c r="AO512" s="85"/>
      <c r="AP512" s="85"/>
      <c r="AQ512" s="85"/>
      <c r="AR512" s="85"/>
      <c r="AS512" s="85"/>
      <c r="AT512" s="85"/>
      <c r="AU512" s="85"/>
      <c r="AV512" s="85"/>
      <c r="AW512" s="85"/>
      <c r="AX512" s="85"/>
      <c r="AY512" s="85"/>
      <c r="AZ512" s="85"/>
      <c r="BA512" s="85"/>
    </row>
    <row r="513" spans="1:53" ht="15.75">
      <c r="A513" s="149"/>
      <c r="B513" s="305" t="s">
        <v>557</v>
      </c>
      <c r="C513" s="306"/>
      <c r="D513" s="271">
        <v>58</v>
      </c>
      <c r="E513" s="272"/>
      <c r="F513" s="278">
        <f t="shared" si="53"/>
        <v>24838.159027826954</v>
      </c>
      <c r="G513" s="279"/>
      <c r="H513" s="275">
        <f t="shared" si="49"/>
        <v>248.38159027826956</v>
      </c>
      <c r="I513" s="276"/>
      <c r="J513" s="277"/>
      <c r="K513" s="75">
        <f t="shared" si="54"/>
        <v>-248.38159027826956</v>
      </c>
      <c r="L513" s="81" t="str">
        <f t="shared" si="50"/>
        <v>LOSS</v>
      </c>
      <c r="M513" s="242">
        <f>IF(COUNTA($F$6:$F$10)=5,(F514-F24)/F24,"")</f>
        <v>1.4589777437548683</v>
      </c>
      <c r="N513" s="238">
        <f t="shared" si="51"/>
        <v>1</v>
      </c>
      <c r="O513" s="14" t="str">
        <f t="shared" si="52"/>
        <v>last</v>
      </c>
      <c r="P513" s="14"/>
      <c r="Q513" s="14"/>
      <c r="R513" s="14"/>
      <c r="S513" s="14"/>
      <c r="T513" s="14"/>
      <c r="U513" s="14"/>
      <c r="V513" s="14"/>
      <c r="W513" s="39" t="str">
        <f>IF(AND(L513="WIN",L514&lt;&gt;"WIN"),SUMIF(L$24:L513,"WIN",K$24:K513)-SUM(W$23:W512),"")</f>
        <v/>
      </c>
      <c r="X513" s="41">
        <f>IF(AND(L513="LOSS",L514&lt;&gt;"LOSS"),SUMIF(L$24:L513,"LOSS",K$24:K513)-SUM(X$23:X512),"")</f>
        <v>-248.38159027826623</v>
      </c>
      <c r="Y513" s="8"/>
      <c r="Z513" s="85"/>
      <c r="AA513" s="85"/>
      <c r="AB513" s="85"/>
      <c r="AC513" s="85"/>
      <c r="AD513" s="85"/>
      <c r="AE513" s="85"/>
      <c r="AF513" s="85"/>
      <c r="AG513" s="85"/>
      <c r="AH513" s="85"/>
      <c r="AI513" s="85"/>
      <c r="AJ513" s="85"/>
      <c r="AK513" s="85"/>
      <c r="AL513" s="85"/>
      <c r="AM513" s="85"/>
      <c r="AN513" s="85"/>
      <c r="AO513" s="85"/>
      <c r="AP513" s="85"/>
      <c r="AQ513" s="85"/>
      <c r="AR513" s="85"/>
      <c r="AS513" s="85"/>
      <c r="AT513" s="85"/>
      <c r="AU513" s="85"/>
      <c r="AV513" s="85"/>
      <c r="AW513" s="85"/>
      <c r="AX513" s="85"/>
      <c r="AY513" s="85"/>
      <c r="AZ513" s="85"/>
      <c r="BA513" s="85"/>
    </row>
    <row r="514" spans="1:53" ht="15.75">
      <c r="A514" s="149"/>
      <c r="B514" s="305" t="s">
        <v>558</v>
      </c>
      <c r="C514" s="306"/>
      <c r="D514" s="271">
        <v>37</v>
      </c>
      <c r="E514" s="272"/>
      <c r="F514" s="278">
        <f t="shared" si="53"/>
        <v>24589.777437548684</v>
      </c>
      <c r="G514" s="279"/>
      <c r="H514" s="275">
        <f t="shared" si="49"/>
        <v>245.89777437548685</v>
      </c>
      <c r="I514" s="276"/>
      <c r="J514" s="277"/>
      <c r="K514" s="75">
        <f t="shared" si="54"/>
        <v>295.07732925058423</v>
      </c>
      <c r="L514" s="81" t="str">
        <f t="shared" si="50"/>
        <v>WIN</v>
      </c>
      <c r="M514" s="242">
        <f>IF(COUNTA($F$6:$F$10)=5,(F515-F24)/F24,"")</f>
        <v>1.4884854766799267</v>
      </c>
      <c r="N514" s="238">
        <f t="shared" si="51"/>
        <v>1</v>
      </c>
      <c r="O514" s="14" t="str">
        <f t="shared" si="52"/>
        <v>last</v>
      </c>
      <c r="P514" s="14"/>
      <c r="Q514" s="14"/>
      <c r="R514" s="14"/>
      <c r="S514" s="14"/>
      <c r="T514" s="14"/>
      <c r="U514" s="14"/>
      <c r="V514" s="14"/>
      <c r="W514" s="39">
        <f>IF(AND(L514="WIN",L515&lt;&gt;"WIN"),SUMIF(L$24:L514,"WIN",K$24:K514)-SUM(W$23:W513),"")</f>
        <v>295.07732925058372</v>
      </c>
      <c r="X514" s="41" t="str">
        <f>IF(AND(L514="LOSS",L515&lt;&gt;"LOSS"),SUMIF(L$24:L514,"LOSS",K$24:K514)-SUM(X$23:X513),"")</f>
        <v/>
      </c>
      <c r="Y514" s="8"/>
      <c r="Z514" s="85"/>
      <c r="AA514" s="85"/>
      <c r="AB514" s="85"/>
      <c r="AC514" s="85"/>
      <c r="AD514" s="85"/>
      <c r="AE514" s="85"/>
      <c r="AF514" s="85"/>
      <c r="AG514" s="85"/>
      <c r="AH514" s="85"/>
      <c r="AI514" s="85"/>
      <c r="AJ514" s="85"/>
      <c r="AK514" s="85"/>
      <c r="AL514" s="85"/>
      <c r="AM514" s="85"/>
      <c r="AN514" s="85"/>
      <c r="AO514" s="85"/>
      <c r="AP514" s="85"/>
      <c r="AQ514" s="85"/>
      <c r="AR514" s="85"/>
      <c r="AS514" s="85"/>
      <c r="AT514" s="85"/>
      <c r="AU514" s="85"/>
      <c r="AV514" s="85"/>
      <c r="AW514" s="85"/>
      <c r="AX514" s="85"/>
      <c r="AY514" s="85"/>
      <c r="AZ514" s="85"/>
      <c r="BA514" s="85"/>
    </row>
    <row r="515" spans="1:53" ht="15.75">
      <c r="A515" s="149"/>
      <c r="B515" s="305" t="s">
        <v>559</v>
      </c>
      <c r="C515" s="306"/>
      <c r="D515" s="271">
        <v>93</v>
      </c>
      <c r="E515" s="272"/>
      <c r="F515" s="278">
        <f t="shared" si="53"/>
        <v>24884.854766799268</v>
      </c>
      <c r="G515" s="279"/>
      <c r="H515" s="275">
        <f t="shared" si="49"/>
        <v>248.84854766799268</v>
      </c>
      <c r="I515" s="276"/>
      <c r="J515" s="277"/>
      <c r="K515" s="75">
        <f t="shared" si="54"/>
        <v>-248.84854766799268</v>
      </c>
      <c r="L515" s="81" t="str">
        <f t="shared" si="50"/>
        <v>LOSS</v>
      </c>
      <c r="M515" s="242">
        <f>IF(COUNTA($F$6:$F$10)=5,(F516-F24)/F24,"")</f>
        <v>1.4636006219131275</v>
      </c>
      <c r="N515" s="238">
        <f t="shared" si="51"/>
        <v>1</v>
      </c>
      <c r="O515" s="14" t="str">
        <f t="shared" si="52"/>
        <v>new</v>
      </c>
      <c r="P515" s="14"/>
      <c r="Q515" s="14"/>
      <c r="R515" s="14"/>
      <c r="S515" s="14"/>
      <c r="T515" s="14"/>
      <c r="U515" s="14"/>
      <c r="V515" s="14"/>
      <c r="W515" s="39" t="str">
        <f>IF(AND(L515="WIN",L516&lt;&gt;"WIN"),SUMIF(L$24:L515,"WIN",K$24:K515)-SUM(W$23:W514),"")</f>
        <v/>
      </c>
      <c r="X515" s="41" t="str">
        <f>IF(AND(L515="LOSS",L516&lt;&gt;"LOSS"),SUMIF(L$24:L515,"LOSS",K$24:K515)-SUM(X$23:X514),"")</f>
        <v/>
      </c>
      <c r="Y515" s="8"/>
      <c r="Z515" s="85"/>
      <c r="AA515" s="85"/>
      <c r="AB515" s="85"/>
      <c r="AC515" s="85"/>
      <c r="AD515" s="85"/>
      <c r="AE515" s="85"/>
      <c r="AF515" s="85"/>
      <c r="AG515" s="85"/>
      <c r="AH515" s="85"/>
      <c r="AI515" s="85"/>
      <c r="AJ515" s="85"/>
      <c r="AK515" s="85"/>
      <c r="AL515" s="85"/>
      <c r="AM515" s="85"/>
      <c r="AN515" s="85"/>
      <c r="AO515" s="85"/>
      <c r="AP515" s="85"/>
      <c r="AQ515" s="85"/>
      <c r="AR515" s="85"/>
      <c r="AS515" s="85"/>
      <c r="AT515" s="85"/>
      <c r="AU515" s="85"/>
      <c r="AV515" s="85"/>
      <c r="AW515" s="85"/>
      <c r="AX515" s="85"/>
      <c r="AY515" s="85"/>
      <c r="AZ515" s="85"/>
      <c r="BA515" s="85"/>
    </row>
    <row r="516" spans="1:53" ht="15.75">
      <c r="A516" s="149"/>
      <c r="B516" s="305" t="s">
        <v>560</v>
      </c>
      <c r="C516" s="306"/>
      <c r="D516" s="271">
        <v>57</v>
      </c>
      <c r="E516" s="272"/>
      <c r="F516" s="278">
        <f t="shared" si="53"/>
        <v>24636.006219131275</v>
      </c>
      <c r="G516" s="279"/>
      <c r="H516" s="275">
        <f t="shared" si="49"/>
        <v>246.36006219131275</v>
      </c>
      <c r="I516" s="276"/>
      <c r="J516" s="277"/>
      <c r="K516" s="75">
        <f t="shared" si="54"/>
        <v>-246.36006219131275</v>
      </c>
      <c r="L516" s="81" t="str">
        <f t="shared" si="50"/>
        <v>LOSS</v>
      </c>
      <c r="M516" s="242">
        <f>IF(COUNTA($F$6:$F$10)=5,(F517-F24)/F24,"")</f>
        <v>1.4389646156939961</v>
      </c>
      <c r="N516" s="238">
        <f t="shared" si="51"/>
        <v>2</v>
      </c>
      <c r="O516" s="14" t="str">
        <f t="shared" si="52"/>
        <v>middle</v>
      </c>
      <c r="P516" s="14"/>
      <c r="Q516" s="14"/>
      <c r="R516" s="14"/>
      <c r="S516" s="14"/>
      <c r="T516" s="14"/>
      <c r="U516" s="14"/>
      <c r="V516" s="14"/>
      <c r="W516" s="39" t="str">
        <f>IF(AND(L516="WIN",L517&lt;&gt;"WIN"),SUMIF(L$24:L516,"WIN",K$24:K516)-SUM(W$23:W515),"")</f>
        <v/>
      </c>
      <c r="X516" s="41" t="str">
        <f>IF(AND(L516="LOSS",L517&lt;&gt;"LOSS"),SUMIF(L$24:L516,"LOSS",K$24:K516)-SUM(X$23:X515),"")</f>
        <v/>
      </c>
      <c r="Y516" s="8"/>
      <c r="Z516" s="85"/>
      <c r="AA516" s="85"/>
      <c r="AB516" s="85"/>
      <c r="AC516" s="85"/>
      <c r="AD516" s="85"/>
      <c r="AE516" s="85"/>
      <c r="AF516" s="85"/>
      <c r="AG516" s="85"/>
      <c r="AH516" s="85"/>
      <c r="AI516" s="85"/>
      <c r="AJ516" s="85"/>
      <c r="AK516" s="85"/>
      <c r="AL516" s="85"/>
      <c r="AM516" s="85"/>
      <c r="AN516" s="85"/>
      <c r="AO516" s="85"/>
      <c r="AP516" s="85"/>
      <c r="AQ516" s="85"/>
      <c r="AR516" s="85"/>
      <c r="AS516" s="85"/>
      <c r="AT516" s="85"/>
      <c r="AU516" s="85"/>
      <c r="AV516" s="85"/>
      <c r="AW516" s="85"/>
      <c r="AX516" s="85"/>
      <c r="AY516" s="85"/>
      <c r="AZ516" s="85"/>
      <c r="BA516" s="85"/>
    </row>
    <row r="517" spans="1:53" ht="15.75">
      <c r="A517" s="149"/>
      <c r="B517" s="305" t="s">
        <v>561</v>
      </c>
      <c r="C517" s="306"/>
      <c r="D517" s="271">
        <v>56</v>
      </c>
      <c r="E517" s="272"/>
      <c r="F517" s="278">
        <f t="shared" si="53"/>
        <v>24389.646156939962</v>
      </c>
      <c r="G517" s="279"/>
      <c r="H517" s="275">
        <f t="shared" si="49"/>
        <v>243.89646156939963</v>
      </c>
      <c r="I517" s="276"/>
      <c r="J517" s="277"/>
      <c r="K517" s="75">
        <f t="shared" si="54"/>
        <v>-243.89646156939963</v>
      </c>
      <c r="L517" s="81" t="str">
        <f t="shared" si="50"/>
        <v>LOSS</v>
      </c>
      <c r="M517" s="242">
        <f>IF(COUNTA($F$6:$F$10)=5,(F518-F24)/F24,"")</f>
        <v>1.4145749695370564</v>
      </c>
      <c r="N517" s="238">
        <f t="shared" si="51"/>
        <v>3</v>
      </c>
      <c r="O517" s="14" t="str">
        <f t="shared" si="52"/>
        <v>middle</v>
      </c>
      <c r="P517" s="14"/>
      <c r="Q517" s="14"/>
      <c r="R517" s="14"/>
      <c r="S517" s="14"/>
      <c r="T517" s="14"/>
      <c r="U517" s="14"/>
      <c r="V517" s="14"/>
      <c r="W517" s="39" t="str">
        <f>IF(AND(L517="WIN",L518&lt;&gt;"WIN"),SUMIF(L$24:L517,"WIN",K$24:K517)-SUM(W$23:W516),"")</f>
        <v/>
      </c>
      <c r="X517" s="41" t="str">
        <f>IF(AND(L517="LOSS",L518&lt;&gt;"LOSS"),SUMIF(L$24:L517,"LOSS",K$24:K517)-SUM(X$23:X516),"")</f>
        <v/>
      </c>
      <c r="Y517" s="8"/>
      <c r="Z517" s="85"/>
      <c r="AA517" s="85"/>
      <c r="AB517" s="85"/>
      <c r="AC517" s="85"/>
      <c r="AD517" s="85"/>
      <c r="AE517" s="85"/>
      <c r="AF517" s="85"/>
      <c r="AG517" s="85"/>
      <c r="AH517" s="85"/>
      <c r="AI517" s="85"/>
      <c r="AJ517" s="85"/>
      <c r="AK517" s="85"/>
      <c r="AL517" s="85"/>
      <c r="AM517" s="85"/>
      <c r="AN517" s="85"/>
      <c r="AO517" s="85"/>
      <c r="AP517" s="85"/>
      <c r="AQ517" s="85"/>
      <c r="AR517" s="85"/>
      <c r="AS517" s="85"/>
      <c r="AT517" s="85"/>
      <c r="AU517" s="85"/>
      <c r="AV517" s="85"/>
      <c r="AW517" s="85"/>
      <c r="AX517" s="85"/>
      <c r="AY517" s="85"/>
      <c r="AZ517" s="85"/>
      <c r="BA517" s="85"/>
    </row>
    <row r="518" spans="1:53" ht="15.75">
      <c r="A518" s="149"/>
      <c r="B518" s="305" t="s">
        <v>562</v>
      </c>
      <c r="C518" s="306"/>
      <c r="D518" s="271">
        <v>94</v>
      </c>
      <c r="E518" s="272"/>
      <c r="F518" s="278">
        <f t="shared" si="53"/>
        <v>24145.749695370563</v>
      </c>
      <c r="G518" s="279"/>
      <c r="H518" s="275">
        <f t="shared" si="49"/>
        <v>241.45749695370563</v>
      </c>
      <c r="I518" s="276"/>
      <c r="J518" s="277"/>
      <c r="K518" s="75">
        <f t="shared" si="54"/>
        <v>-241.45749695370563</v>
      </c>
      <c r="L518" s="81" t="str">
        <f t="shared" si="50"/>
        <v>LOSS</v>
      </c>
      <c r="M518" s="242">
        <f>IF(COUNTA($F$6:$F$10)=5,(F519-F24)/F24,"")</f>
        <v>1.3904292198416857</v>
      </c>
      <c r="N518" s="238">
        <f t="shared" si="51"/>
        <v>4</v>
      </c>
      <c r="O518" s="14" t="str">
        <f t="shared" si="52"/>
        <v>last</v>
      </c>
      <c r="P518" s="14"/>
      <c r="Q518" s="14"/>
      <c r="R518" s="14"/>
      <c r="S518" s="14"/>
      <c r="T518" s="14"/>
      <c r="U518" s="14"/>
      <c r="V518" s="14"/>
      <c r="W518" s="39" t="str">
        <f>IF(AND(L518="WIN",L519&lt;&gt;"WIN"),SUMIF(L$24:L518,"WIN",K$24:K518)-SUM(W$23:W517),"")</f>
        <v/>
      </c>
      <c r="X518" s="41">
        <f>IF(AND(L518="LOSS",L519&lt;&gt;"LOSS"),SUMIF(L$24:L518,"LOSS",K$24:K518)-SUM(X$23:X517),"")</f>
        <v>-980.56256838241097</v>
      </c>
      <c r="Y518" s="8"/>
      <c r="Z518" s="85"/>
      <c r="AA518" s="85"/>
      <c r="AB518" s="85"/>
      <c r="AC518" s="85"/>
      <c r="AD518" s="85"/>
      <c r="AE518" s="85"/>
      <c r="AF518" s="85"/>
      <c r="AG518" s="85"/>
      <c r="AH518" s="85"/>
      <c r="AI518" s="85"/>
      <c r="AJ518" s="85"/>
      <c r="AK518" s="85"/>
      <c r="AL518" s="85"/>
      <c r="AM518" s="85"/>
      <c r="AN518" s="85"/>
      <c r="AO518" s="85"/>
      <c r="AP518" s="85"/>
      <c r="AQ518" s="85"/>
      <c r="AR518" s="85"/>
      <c r="AS518" s="85"/>
      <c r="AT518" s="85"/>
      <c r="AU518" s="85"/>
      <c r="AV518" s="85"/>
      <c r="AW518" s="85"/>
      <c r="AX518" s="85"/>
      <c r="AY518" s="85"/>
      <c r="AZ518" s="85"/>
      <c r="BA518" s="85"/>
    </row>
    <row r="519" spans="1:53" ht="15.75">
      <c r="A519" s="149"/>
      <c r="B519" s="305" t="s">
        <v>563</v>
      </c>
      <c r="C519" s="306"/>
      <c r="D519" s="271">
        <v>25</v>
      </c>
      <c r="E519" s="272"/>
      <c r="F519" s="278">
        <f t="shared" si="53"/>
        <v>23904.292198416857</v>
      </c>
      <c r="G519" s="279"/>
      <c r="H519" s="275">
        <f t="shared" si="49"/>
        <v>239.04292198416857</v>
      </c>
      <c r="I519" s="276"/>
      <c r="J519" s="277"/>
      <c r="K519" s="75">
        <f t="shared" si="54"/>
        <v>286.85150638100225</v>
      </c>
      <c r="L519" s="81" t="str">
        <f t="shared" si="50"/>
        <v>WIN</v>
      </c>
      <c r="M519" s="242">
        <f>IF(COUNTA($F$6:$F$10)=5,(F520-F24)/F24,"")</f>
        <v>1.4191143704797857</v>
      </c>
      <c r="N519" s="238">
        <f t="shared" si="51"/>
        <v>1</v>
      </c>
      <c r="O519" s="14" t="str">
        <f t="shared" si="52"/>
        <v>last</v>
      </c>
      <c r="P519" s="14"/>
      <c r="Q519" s="14"/>
      <c r="R519" s="14"/>
      <c r="S519" s="14"/>
      <c r="T519" s="14"/>
      <c r="U519" s="14"/>
      <c r="V519" s="14"/>
      <c r="W519" s="39">
        <f>IF(AND(L519="WIN",L520&lt;&gt;"WIN"),SUMIF(L$24:L519,"WIN",K$24:K519)-SUM(W$23:W518),"")</f>
        <v>286.85150638100458</v>
      </c>
      <c r="X519" s="41" t="str">
        <f>IF(AND(L519="LOSS",L520&lt;&gt;"LOSS"),SUMIF(L$24:L519,"LOSS",K$24:K519)-SUM(X$23:X518),"")</f>
        <v/>
      </c>
      <c r="Y519" s="8"/>
      <c r="Z519" s="85"/>
      <c r="AA519" s="85"/>
      <c r="AB519" s="85"/>
      <c r="AC519" s="85"/>
      <c r="AD519" s="85"/>
      <c r="AE519" s="85"/>
      <c r="AF519" s="85"/>
      <c r="AG519" s="85"/>
      <c r="AH519" s="85"/>
      <c r="AI519" s="85"/>
      <c r="AJ519" s="85"/>
      <c r="AK519" s="85"/>
      <c r="AL519" s="85"/>
      <c r="AM519" s="85"/>
      <c r="AN519" s="85"/>
      <c r="AO519" s="85"/>
      <c r="AP519" s="85"/>
      <c r="AQ519" s="85"/>
      <c r="AR519" s="85"/>
      <c r="AS519" s="85"/>
      <c r="AT519" s="85"/>
      <c r="AU519" s="85"/>
      <c r="AV519" s="85"/>
      <c r="AW519" s="85"/>
      <c r="AX519" s="85"/>
      <c r="AY519" s="85"/>
      <c r="AZ519" s="85"/>
      <c r="BA519" s="85"/>
    </row>
    <row r="520" spans="1:53" ht="15.75">
      <c r="A520" s="149"/>
      <c r="B520" s="305" t="s">
        <v>564</v>
      </c>
      <c r="C520" s="306"/>
      <c r="D520" s="271">
        <v>64</v>
      </c>
      <c r="E520" s="272"/>
      <c r="F520" s="278">
        <f t="shared" si="53"/>
        <v>24191.143704797858</v>
      </c>
      <c r="G520" s="279"/>
      <c r="H520" s="275">
        <f t="shared" si="49"/>
        <v>241.91143704797858</v>
      </c>
      <c r="I520" s="276"/>
      <c r="J520" s="277"/>
      <c r="K520" s="75">
        <f t="shared" si="54"/>
        <v>-241.91143704797858</v>
      </c>
      <c r="L520" s="81" t="str">
        <f t="shared" si="50"/>
        <v>LOSS</v>
      </c>
      <c r="M520" s="242">
        <f>IF(COUNTA($F$6:$F$10)=5,(F521-F24)/F24,"")</f>
        <v>1.3949232267749878</v>
      </c>
      <c r="N520" s="238">
        <f t="shared" si="51"/>
        <v>1</v>
      </c>
      <c r="O520" s="14" t="str">
        <f t="shared" si="52"/>
        <v>last</v>
      </c>
      <c r="P520" s="14"/>
      <c r="Q520" s="14"/>
      <c r="R520" s="14"/>
      <c r="S520" s="14"/>
      <c r="T520" s="14"/>
      <c r="U520" s="14"/>
      <c r="V520" s="14"/>
      <c r="W520" s="39" t="str">
        <f>IF(AND(L520="WIN",L521&lt;&gt;"WIN"),SUMIF(L$24:L520,"WIN",K$24:K520)-SUM(W$23:W519),"")</f>
        <v/>
      </c>
      <c r="X520" s="41">
        <f>IF(AND(L520="LOSS",L521&lt;&gt;"LOSS"),SUMIF(L$24:L520,"LOSS",K$24:K520)-SUM(X$23:X519),"")</f>
        <v>-241.91143704798014</v>
      </c>
      <c r="Y520" s="8"/>
      <c r="Z520" s="85"/>
      <c r="AA520" s="85"/>
      <c r="AB520" s="85"/>
      <c r="AC520" s="85"/>
      <c r="AD520" s="85"/>
      <c r="AE520" s="85"/>
      <c r="AF520" s="85"/>
      <c r="AG520" s="85"/>
      <c r="AH520" s="85"/>
      <c r="AI520" s="85"/>
      <c r="AJ520" s="85"/>
      <c r="AK520" s="85"/>
      <c r="AL520" s="85"/>
      <c r="AM520" s="85"/>
      <c r="AN520" s="85"/>
      <c r="AO520" s="85"/>
      <c r="AP520" s="85"/>
      <c r="AQ520" s="85"/>
      <c r="AR520" s="85"/>
      <c r="AS520" s="85"/>
      <c r="AT520" s="85"/>
      <c r="AU520" s="85"/>
      <c r="AV520" s="85"/>
      <c r="AW520" s="85"/>
      <c r="AX520" s="85"/>
      <c r="AY520" s="85"/>
      <c r="AZ520" s="85"/>
      <c r="BA520" s="85"/>
    </row>
    <row r="521" spans="1:53" ht="15.75">
      <c r="A521" s="149"/>
      <c r="B521" s="305" t="s">
        <v>565</v>
      </c>
      <c r="C521" s="306"/>
      <c r="D521" s="271">
        <v>47</v>
      </c>
      <c r="E521" s="272"/>
      <c r="F521" s="278">
        <f t="shared" si="53"/>
        <v>23949.232267749878</v>
      </c>
      <c r="G521" s="279"/>
      <c r="H521" s="275">
        <f t="shared" si="49"/>
        <v>239.49232267749878</v>
      </c>
      <c r="I521" s="276"/>
      <c r="J521" s="277"/>
      <c r="K521" s="75">
        <f t="shared" si="54"/>
        <v>287.39078721299853</v>
      </c>
      <c r="L521" s="81" t="str">
        <f t="shared" si="50"/>
        <v>WIN</v>
      </c>
      <c r="M521" s="242">
        <f>IF(COUNTA($F$6:$F$10)=5,(F522-F24)/F24,"")</f>
        <v>1.4236623054962878</v>
      </c>
      <c r="N521" s="238">
        <f t="shared" si="51"/>
        <v>1</v>
      </c>
      <c r="O521" s="14" t="str">
        <f t="shared" si="52"/>
        <v>new</v>
      </c>
      <c r="P521" s="14"/>
      <c r="Q521" s="14"/>
      <c r="R521" s="14"/>
      <c r="S521" s="14"/>
      <c r="T521" s="14"/>
      <c r="U521" s="14"/>
      <c r="V521" s="14"/>
      <c r="W521" s="39" t="str">
        <f>IF(AND(L521="WIN",L522&lt;&gt;"WIN"),SUMIF(L$24:L521,"WIN",K$24:K521)-SUM(W$23:W520),"")</f>
        <v/>
      </c>
      <c r="X521" s="41" t="str">
        <f>IF(AND(L521="LOSS",L522&lt;&gt;"LOSS"),SUMIF(L$24:L521,"LOSS",K$24:K521)-SUM(X$23:X520),"")</f>
        <v/>
      </c>
      <c r="Y521" s="8"/>
      <c r="Z521" s="85"/>
      <c r="AA521" s="85"/>
      <c r="AB521" s="85"/>
      <c r="AC521" s="85"/>
      <c r="AD521" s="85"/>
      <c r="AE521" s="85"/>
      <c r="AF521" s="85"/>
      <c r="AG521" s="85"/>
      <c r="AH521" s="85"/>
      <c r="AI521" s="85"/>
      <c r="AJ521" s="85"/>
      <c r="AK521" s="85"/>
      <c r="AL521" s="85"/>
      <c r="AM521" s="85"/>
      <c r="AN521" s="85"/>
      <c r="AO521" s="85"/>
      <c r="AP521" s="85"/>
      <c r="AQ521" s="85"/>
      <c r="AR521" s="85"/>
      <c r="AS521" s="85"/>
      <c r="AT521" s="85"/>
      <c r="AU521" s="85"/>
      <c r="AV521" s="85"/>
      <c r="AW521" s="85"/>
      <c r="AX521" s="85"/>
      <c r="AY521" s="85"/>
      <c r="AZ521" s="85"/>
      <c r="BA521" s="85"/>
    </row>
    <row r="522" spans="1:53" ht="16.5" thickBot="1">
      <c r="A522" s="149"/>
      <c r="B522" s="400" t="s">
        <v>566</v>
      </c>
      <c r="C522" s="401"/>
      <c r="D522" s="415">
        <v>14</v>
      </c>
      <c r="E522" s="416"/>
      <c r="F522" s="469">
        <f t="shared" si="53"/>
        <v>24236.623054962878</v>
      </c>
      <c r="G522" s="470"/>
      <c r="H522" s="390">
        <f t="shared" si="49"/>
        <v>242.3662305496288</v>
      </c>
      <c r="I522" s="391"/>
      <c r="J522" s="392"/>
      <c r="K522" s="76">
        <f t="shared" si="54"/>
        <v>290.83947665955452</v>
      </c>
      <c r="L522" s="82" t="str">
        <f t="shared" si="50"/>
        <v>WIN</v>
      </c>
      <c r="M522" s="243">
        <f>IF(COUNTA($F$6:$F$10)=5,(F523-F24)/F24,"")</f>
        <v>1.4527462531622435</v>
      </c>
      <c r="N522" s="238">
        <f t="shared" si="51"/>
        <v>2</v>
      </c>
      <c r="O522" s="14" t="str">
        <f t="shared" si="52"/>
        <v>middle</v>
      </c>
      <c r="P522" s="14"/>
      <c r="Q522" s="14"/>
      <c r="R522" s="14"/>
      <c r="S522" s="14"/>
      <c r="T522" s="14"/>
      <c r="U522" s="14"/>
      <c r="V522" s="14"/>
      <c r="W522" s="39" t="str">
        <f>IF(AND(L522="WIN",L523&lt;&gt;"WIN"),SUMIF(L$24:L522,"WIN",K$24:K522)-SUM(W$23:W521),"")</f>
        <v/>
      </c>
      <c r="X522" s="41" t="str">
        <f>IF(AND(L522="LOSS",L523&lt;&gt;"LOSS"),SUMIF(L$24:L522,"LOSS",K$24:K522)-SUM(X$23:X521),"")</f>
        <v/>
      </c>
      <c r="Y522" s="8"/>
      <c r="Z522" s="85"/>
      <c r="AA522" s="85"/>
      <c r="AB522" s="85"/>
      <c r="AC522" s="85"/>
      <c r="AD522" s="85"/>
      <c r="AE522" s="85"/>
      <c r="AF522" s="85"/>
      <c r="AG522" s="85"/>
      <c r="AH522" s="85"/>
      <c r="AI522" s="85"/>
      <c r="AJ522" s="85"/>
      <c r="AK522" s="85"/>
      <c r="AL522" s="85"/>
      <c r="AM522" s="85"/>
      <c r="AN522" s="85"/>
      <c r="AO522" s="85"/>
      <c r="AP522" s="85"/>
      <c r="AQ522" s="85"/>
      <c r="AR522" s="85"/>
      <c r="AS522" s="85"/>
      <c r="AT522" s="85"/>
      <c r="AU522" s="85"/>
      <c r="AV522" s="85"/>
      <c r="AW522" s="85"/>
      <c r="AX522" s="85"/>
      <c r="AY522" s="85"/>
      <c r="AZ522" s="85"/>
      <c r="BA522" s="85"/>
    </row>
    <row r="523" spans="1:53" ht="17.25" thickTop="1" thickBot="1">
      <c r="A523" s="149"/>
      <c r="B523" s="404" t="s">
        <v>567</v>
      </c>
      <c r="C523" s="405"/>
      <c r="D523" s="421">
        <v>4</v>
      </c>
      <c r="E523" s="422"/>
      <c r="F523" s="388">
        <f t="shared" si="53"/>
        <v>24527.462531622434</v>
      </c>
      <c r="G523" s="389"/>
      <c r="H523" s="393">
        <f t="shared" si="49"/>
        <v>245.27462531622433</v>
      </c>
      <c r="I523" s="394"/>
      <c r="J523" s="395"/>
      <c r="K523" s="245">
        <f t="shared" si="54"/>
        <v>294.3295503794692</v>
      </c>
      <c r="L523" s="246" t="str">
        <f t="shared" si="50"/>
        <v>WIN</v>
      </c>
      <c r="M523" s="247">
        <f>IF(COUNTA($F$6:$F$10)=5,(F524-F24)/F24,"")</f>
        <v>1.4821792082001903</v>
      </c>
      <c r="N523" s="239">
        <f t="shared" si="51"/>
        <v>3</v>
      </c>
      <c r="O523" s="16" t="str">
        <f t="shared" si="52"/>
        <v>middle</v>
      </c>
      <c r="P523" s="16"/>
      <c r="Q523" s="16"/>
      <c r="R523" s="16"/>
      <c r="S523" s="16"/>
      <c r="T523" s="16"/>
      <c r="U523" s="16"/>
      <c r="V523" s="16"/>
      <c r="W523" s="40">
        <f>IF(AND(L523="WIN",M524&lt;&gt;"WIN"),SUMIF(L$24:L523,"WIN",K$24:K523)-SUM(W$23:W522),"")</f>
        <v>872.55981425202481</v>
      </c>
      <c r="X523" s="61" t="str">
        <f>IF(AND(L523="LOSS",M524&lt;&gt;"LOSS"),SUMIF(L$24:L523,"LOSS",K$24:K523)-SUM(X$23:X522),"")</f>
        <v/>
      </c>
      <c r="Y523" s="8"/>
      <c r="Z523" s="85"/>
      <c r="AA523" s="85"/>
      <c r="AB523" s="85"/>
      <c r="AC523" s="85"/>
      <c r="AD523" s="85"/>
      <c r="AE523" s="85"/>
      <c r="AF523" s="85"/>
      <c r="AG523" s="85"/>
      <c r="AH523" s="85"/>
      <c r="AI523" s="85"/>
      <c r="AJ523" s="85"/>
      <c r="AK523" s="85"/>
      <c r="AL523" s="85"/>
      <c r="AM523" s="85"/>
      <c r="AN523" s="85"/>
      <c r="AO523" s="85"/>
      <c r="AP523" s="85"/>
      <c r="AQ523" s="85"/>
      <c r="AR523" s="85"/>
      <c r="AS523" s="85"/>
      <c r="AT523" s="85"/>
      <c r="AU523" s="85"/>
      <c r="AV523" s="85"/>
      <c r="AW523" s="85"/>
      <c r="AX523" s="85"/>
      <c r="AY523" s="85"/>
      <c r="AZ523" s="85"/>
      <c r="BA523" s="85"/>
    </row>
    <row r="524" spans="1:53" ht="15.75">
      <c r="A524" s="85"/>
      <c r="B524" s="200"/>
      <c r="C524" s="200"/>
      <c r="D524" s="200"/>
      <c r="E524" s="200"/>
      <c r="F524" s="280">
        <f t="shared" ref="F524" si="55">IF(COUNTBLANK($F$6:$F$10),"",IF(D523&lt;$F$8,(1+$F$7*$F$9)*F523-$F$10,(1-$F$7)*F523-$F$10))</f>
        <v>24821.792082001903</v>
      </c>
      <c r="G524" s="280"/>
      <c r="H524" s="387"/>
      <c r="I524" s="387"/>
      <c r="J524" s="387"/>
      <c r="K524" s="240"/>
      <c r="L524" s="241"/>
      <c r="M524" s="85"/>
      <c r="N524" s="17"/>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c r="AM524" s="85"/>
      <c r="AN524" s="85"/>
      <c r="AO524" s="201"/>
      <c r="AP524" s="201"/>
      <c r="AQ524" s="201"/>
      <c r="AR524" s="85"/>
      <c r="AS524" s="85"/>
      <c r="AT524" s="85"/>
      <c r="AU524" s="85"/>
      <c r="AV524" s="85"/>
      <c r="AW524" s="85"/>
      <c r="AX524" s="85"/>
      <c r="AY524" s="85"/>
      <c r="AZ524" s="85"/>
      <c r="BA524" s="85"/>
    </row>
    <row r="525" spans="1:53">
      <c r="A525" s="85"/>
      <c r="B525" s="85"/>
      <c r="C525" s="85"/>
      <c r="D525" s="85"/>
      <c r="E525" s="85"/>
      <c r="F525" s="85"/>
      <c r="G525" s="85"/>
      <c r="H525" s="85"/>
      <c r="I525" s="85"/>
      <c r="J525" s="85"/>
      <c r="K525" s="85"/>
      <c r="L525" s="85"/>
      <c r="M525" s="85"/>
      <c r="N525" s="85"/>
      <c r="O525" s="85"/>
      <c r="P525" s="85"/>
      <c r="Q525" s="85"/>
      <c r="R525" s="85"/>
      <c r="S525" s="85"/>
      <c r="T525" s="85"/>
      <c r="U525" s="85"/>
      <c r="V525" s="85"/>
      <c r="W525" s="85"/>
      <c r="X525" s="85"/>
      <c r="Y525" s="85"/>
      <c r="Z525" s="85"/>
      <c r="AA525" s="85"/>
      <c r="AB525" s="85"/>
      <c r="AC525" s="85"/>
      <c r="AD525" s="85"/>
      <c r="AE525" s="85"/>
      <c r="AF525" s="85"/>
      <c r="AG525" s="85"/>
      <c r="AH525" s="85"/>
      <c r="AI525" s="85"/>
      <c r="AJ525" s="85"/>
      <c r="AK525" s="85"/>
      <c r="AL525" s="85"/>
      <c r="AM525" s="85"/>
      <c r="AN525" s="85"/>
      <c r="AO525" s="202"/>
      <c r="AP525" s="202"/>
      <c r="AQ525" s="202"/>
      <c r="AR525" s="85"/>
      <c r="AS525" s="85"/>
      <c r="AT525" s="85"/>
      <c r="AU525" s="85"/>
      <c r="AV525" s="85"/>
      <c r="AW525" s="85"/>
      <c r="AX525" s="85"/>
      <c r="AY525" s="85"/>
      <c r="AZ525" s="85"/>
      <c r="BA525" s="85"/>
    </row>
    <row r="526" spans="1:53">
      <c r="A526" s="85"/>
      <c r="B526" s="85"/>
      <c r="C526" s="85"/>
      <c r="D526" s="85"/>
      <c r="E526" s="85"/>
      <c r="F526" s="85"/>
      <c r="G526" s="85"/>
      <c r="H526" s="85"/>
      <c r="I526" s="85"/>
      <c r="J526" s="85"/>
      <c r="K526" s="85"/>
      <c r="L526" s="85"/>
      <c r="M526" s="85"/>
      <c r="N526" s="85"/>
      <c r="O526" s="85"/>
      <c r="P526" s="85"/>
      <c r="Q526" s="85"/>
      <c r="R526" s="85"/>
      <c r="S526" s="85"/>
      <c r="T526" s="85"/>
      <c r="U526" s="85"/>
      <c r="V526" s="85"/>
      <c r="W526" s="85"/>
      <c r="X526" s="85"/>
      <c r="Y526" s="85"/>
      <c r="Z526" s="85"/>
      <c r="AA526" s="85"/>
      <c r="AB526" s="85"/>
      <c r="AC526" s="85"/>
      <c r="AD526" s="85"/>
      <c r="AE526" s="85"/>
      <c r="AF526" s="85"/>
      <c r="AG526" s="85"/>
      <c r="AH526" s="85"/>
      <c r="AI526" s="85"/>
      <c r="AJ526" s="85"/>
      <c r="AK526" s="85"/>
      <c r="AL526" s="85"/>
      <c r="AM526" s="85"/>
      <c r="AN526" s="85"/>
      <c r="AO526" s="194"/>
      <c r="AP526" s="194"/>
      <c r="AQ526" s="194"/>
      <c r="AR526" s="85"/>
      <c r="AS526" s="85"/>
      <c r="AT526" s="85"/>
      <c r="AU526" s="85"/>
      <c r="AV526" s="85"/>
      <c r="AW526" s="85"/>
      <c r="AX526" s="85"/>
      <c r="AY526" s="85"/>
      <c r="AZ526" s="85"/>
      <c r="BA526" s="85"/>
    </row>
    <row r="527" spans="1:53" hidden="1">
      <c r="A527" s="85"/>
      <c r="B527" s="85"/>
      <c r="C527" s="85"/>
      <c r="D527" s="85"/>
      <c r="E527" s="85"/>
      <c r="F527" s="85"/>
      <c r="G527" s="85"/>
      <c r="H527" s="85"/>
      <c r="I527" s="85"/>
      <c r="J527" s="85"/>
      <c r="K527" s="85"/>
      <c r="L527" s="85"/>
      <c r="M527" s="85"/>
      <c r="N527" s="85"/>
      <c r="O527" s="85"/>
      <c r="P527" s="85"/>
      <c r="Q527" s="85"/>
      <c r="R527" s="85"/>
      <c r="S527" s="85"/>
      <c r="T527" s="85"/>
      <c r="U527" s="85"/>
      <c r="V527" s="85"/>
      <c r="W527" s="85"/>
      <c r="X527" s="85"/>
      <c r="Y527" s="85"/>
      <c r="Z527" s="85"/>
      <c r="AA527" s="85"/>
      <c r="AB527" s="85"/>
      <c r="AC527" s="85"/>
      <c r="AD527" s="85"/>
      <c r="AE527" s="85"/>
      <c r="AF527" s="85"/>
      <c r="AG527" s="85"/>
      <c r="AH527" s="85"/>
      <c r="AI527" s="85"/>
      <c r="AJ527" s="85"/>
      <c r="AK527" s="85"/>
      <c r="AL527" s="85"/>
      <c r="AM527" s="85"/>
      <c r="AN527" s="85"/>
      <c r="AO527" s="85"/>
      <c r="AP527" s="85"/>
      <c r="AQ527" s="85"/>
      <c r="AR527" s="85"/>
      <c r="AS527" s="85"/>
      <c r="AT527" s="85"/>
      <c r="AU527" s="85"/>
      <c r="AV527" s="85"/>
      <c r="AW527" s="85"/>
      <c r="AX527" s="85"/>
      <c r="AY527" s="85"/>
      <c r="AZ527" s="85"/>
      <c r="BA527" s="85"/>
    </row>
    <row r="528" spans="1:53" hidden="1">
      <c r="A528" s="85"/>
      <c r="B528" s="85"/>
      <c r="C528" s="85"/>
      <c r="D528" s="85"/>
      <c r="E528" s="85"/>
      <c r="F528" s="85"/>
      <c r="G528" s="85"/>
      <c r="H528" s="85"/>
      <c r="I528" s="85"/>
      <c r="J528" s="85"/>
      <c r="K528" s="85"/>
      <c r="L528" s="85"/>
      <c r="M528" s="85"/>
      <c r="N528" s="85"/>
      <c r="O528" s="85"/>
      <c r="P528" s="85"/>
      <c r="Q528" s="85"/>
      <c r="R528" s="85"/>
      <c r="S528" s="85"/>
      <c r="T528" s="85"/>
      <c r="U528" s="85"/>
      <c r="V528" s="85"/>
      <c r="W528" s="85"/>
      <c r="X528" s="85"/>
      <c r="Y528" s="85"/>
      <c r="Z528" s="85"/>
      <c r="AA528" s="85"/>
      <c r="AB528" s="85"/>
      <c r="AC528" s="85"/>
      <c r="AD528" s="85"/>
      <c r="AE528" s="85"/>
      <c r="AF528" s="85"/>
      <c r="AG528" s="85"/>
      <c r="AH528" s="85"/>
      <c r="AI528" s="85"/>
      <c r="AJ528" s="85"/>
      <c r="AK528" s="85"/>
      <c r="AL528" s="85"/>
      <c r="AM528" s="85"/>
      <c r="AN528" s="85"/>
      <c r="AO528" s="85"/>
      <c r="AP528" s="85"/>
      <c r="AQ528" s="85"/>
      <c r="AR528" s="85"/>
      <c r="AS528" s="85"/>
      <c r="AT528" s="85"/>
      <c r="AU528" s="85"/>
      <c r="AV528" s="85"/>
      <c r="AW528" s="85"/>
      <c r="AX528" s="85"/>
      <c r="AY528" s="85"/>
      <c r="AZ528" s="85"/>
      <c r="BA528" s="85"/>
    </row>
    <row r="529" spans="1:53" hidden="1">
      <c r="A529" s="85"/>
      <c r="B529" s="85"/>
      <c r="C529" s="85"/>
      <c r="D529" s="85"/>
      <c r="E529" s="85"/>
      <c r="F529" s="85"/>
      <c r="G529" s="85"/>
      <c r="H529" s="85"/>
      <c r="I529" s="85"/>
      <c r="J529" s="85"/>
      <c r="K529" s="85"/>
      <c r="L529" s="85"/>
      <c r="M529" s="85"/>
      <c r="N529" s="85"/>
      <c r="O529" s="85"/>
      <c r="P529" s="85"/>
      <c r="Q529" s="85"/>
      <c r="R529" s="85"/>
      <c r="S529" s="85"/>
      <c r="T529" s="85"/>
      <c r="U529" s="85"/>
      <c r="V529" s="85"/>
      <c r="W529" s="85"/>
      <c r="X529" s="85"/>
      <c r="Y529" s="85"/>
      <c r="Z529" s="85"/>
      <c r="AA529" s="85"/>
      <c r="AB529" s="85"/>
      <c r="AC529" s="85"/>
      <c r="AD529" s="85"/>
      <c r="AE529" s="85"/>
      <c r="AF529" s="85"/>
      <c r="AG529" s="85"/>
      <c r="AH529" s="85"/>
      <c r="AI529" s="85"/>
      <c r="AJ529" s="85"/>
      <c r="AK529" s="85"/>
      <c r="AL529" s="85"/>
      <c r="AM529" s="85"/>
      <c r="AN529" s="85"/>
      <c r="AO529" s="85"/>
      <c r="AP529" s="85"/>
      <c r="AQ529" s="85"/>
      <c r="AR529" s="85"/>
      <c r="AS529" s="85"/>
      <c r="AT529" s="85"/>
      <c r="AU529" s="85"/>
      <c r="AV529" s="85"/>
      <c r="AW529" s="85"/>
      <c r="AX529" s="85"/>
      <c r="AY529" s="85"/>
      <c r="AZ529" s="85"/>
      <c r="BA529" s="85"/>
    </row>
    <row r="530" spans="1:53" hidden="1">
      <c r="A530" s="85"/>
      <c r="B530" s="85"/>
      <c r="C530" s="85"/>
      <c r="D530" s="85"/>
      <c r="E530" s="85"/>
      <c r="F530" s="85"/>
      <c r="G530" s="85"/>
      <c r="H530" s="85"/>
      <c r="I530" s="85"/>
      <c r="J530" s="85"/>
      <c r="K530" s="85"/>
      <c r="L530" s="85"/>
      <c r="M530" s="85"/>
      <c r="N530" s="85"/>
      <c r="O530" s="85"/>
      <c r="P530" s="85"/>
      <c r="Q530" s="85"/>
      <c r="R530" s="85"/>
      <c r="S530" s="85"/>
      <c r="T530" s="85"/>
      <c r="U530" s="85"/>
      <c r="V530" s="85"/>
      <c r="W530" s="85"/>
      <c r="X530" s="85"/>
      <c r="Y530" s="85"/>
      <c r="Z530" s="85"/>
      <c r="AA530" s="85"/>
      <c r="AB530" s="85"/>
      <c r="AC530" s="85"/>
      <c r="AD530" s="85"/>
      <c r="AE530" s="85"/>
      <c r="AF530" s="85"/>
      <c r="AG530" s="85"/>
      <c r="AH530" s="85"/>
      <c r="AI530" s="85"/>
      <c r="AJ530" s="85"/>
      <c r="AK530" s="85"/>
      <c r="AL530" s="85"/>
      <c r="AM530" s="85"/>
      <c r="AN530" s="85"/>
      <c r="AO530" s="85"/>
      <c r="AP530" s="85"/>
      <c r="AQ530" s="85"/>
      <c r="AR530" s="85"/>
      <c r="AS530" s="85"/>
      <c r="AT530" s="85"/>
      <c r="AU530" s="85"/>
      <c r="AV530" s="85"/>
      <c r="AW530" s="85"/>
      <c r="AX530" s="85"/>
      <c r="AY530" s="85"/>
      <c r="AZ530" s="85"/>
      <c r="BA530" s="85"/>
    </row>
    <row r="531" spans="1:53" hidden="1">
      <c r="A531" s="85"/>
      <c r="B531" s="85"/>
      <c r="C531" s="85"/>
      <c r="D531" s="85"/>
      <c r="E531" s="85"/>
      <c r="F531" s="85"/>
      <c r="G531" s="85"/>
      <c r="H531" s="85"/>
      <c r="I531" s="85"/>
      <c r="J531" s="85"/>
      <c r="K531" s="85"/>
      <c r="L531" s="85"/>
      <c r="M531" s="85"/>
      <c r="N531" s="85"/>
      <c r="O531" s="85"/>
      <c r="P531" s="85"/>
      <c r="Q531" s="85"/>
      <c r="R531" s="85"/>
      <c r="S531" s="85"/>
      <c r="T531" s="85"/>
      <c r="U531" s="85"/>
      <c r="V531" s="85"/>
      <c r="W531" s="85"/>
      <c r="X531" s="85"/>
      <c r="Y531" s="85"/>
      <c r="Z531" s="85"/>
      <c r="AA531" s="85"/>
      <c r="AB531" s="85"/>
      <c r="AC531" s="85"/>
      <c r="AD531" s="85"/>
      <c r="AE531" s="85"/>
      <c r="AF531" s="85"/>
      <c r="AG531" s="85"/>
      <c r="AH531" s="85"/>
      <c r="AI531" s="85"/>
      <c r="AJ531" s="85"/>
      <c r="AK531" s="85"/>
      <c r="AL531" s="85"/>
      <c r="AM531" s="85"/>
      <c r="AN531" s="85"/>
      <c r="AO531" s="85"/>
      <c r="AP531" s="85"/>
      <c r="AQ531" s="85"/>
      <c r="AR531" s="85"/>
      <c r="AS531" s="85"/>
      <c r="AT531" s="85"/>
      <c r="AU531" s="85"/>
      <c r="AV531" s="85"/>
      <c r="AW531" s="85"/>
      <c r="AX531" s="85"/>
      <c r="AY531" s="85"/>
      <c r="AZ531" s="85"/>
      <c r="BA531" s="85"/>
    </row>
    <row r="532" spans="1:53" hidden="1">
      <c r="A532" s="85"/>
      <c r="B532" s="85"/>
      <c r="C532" s="85"/>
      <c r="D532" s="85"/>
      <c r="E532" s="85"/>
      <c r="F532" s="85"/>
      <c r="G532" s="85"/>
      <c r="H532" s="85"/>
      <c r="I532" s="85"/>
      <c r="J532" s="85"/>
      <c r="K532" s="85"/>
      <c r="L532" s="85"/>
      <c r="M532" s="85"/>
      <c r="N532" s="85"/>
      <c r="O532" s="85"/>
      <c r="P532" s="85"/>
      <c r="Q532" s="85"/>
      <c r="R532" s="85"/>
      <c r="S532" s="85"/>
      <c r="T532" s="85"/>
      <c r="U532" s="85"/>
      <c r="V532" s="85"/>
      <c r="W532" s="85"/>
      <c r="X532" s="85"/>
      <c r="Y532" s="85"/>
      <c r="Z532" s="85"/>
      <c r="AA532" s="85"/>
      <c r="AB532" s="85"/>
      <c r="AC532" s="85"/>
      <c r="AD532" s="85"/>
      <c r="AE532" s="85"/>
      <c r="AF532" s="85"/>
      <c r="AG532" s="85"/>
      <c r="AH532" s="85"/>
      <c r="AI532" s="85"/>
      <c r="AJ532" s="85"/>
      <c r="AK532" s="85"/>
      <c r="AL532" s="85"/>
      <c r="AM532" s="85"/>
      <c r="AN532" s="85"/>
      <c r="AO532" s="85"/>
      <c r="AP532" s="85"/>
      <c r="AQ532" s="85"/>
      <c r="AR532" s="85"/>
      <c r="AS532" s="85"/>
      <c r="AT532" s="85"/>
      <c r="AU532" s="85"/>
      <c r="AV532" s="85"/>
      <c r="AW532" s="85"/>
      <c r="AX532" s="85"/>
      <c r="AY532" s="85"/>
      <c r="AZ532" s="85"/>
      <c r="BA532" s="85"/>
    </row>
    <row r="533" spans="1:53" hidden="1">
      <c r="A533" s="85"/>
      <c r="B533" s="85"/>
      <c r="C533" s="85"/>
      <c r="D533" s="85"/>
      <c r="E533" s="85"/>
      <c r="F533" s="85"/>
      <c r="G533" s="85"/>
      <c r="H533" s="85"/>
      <c r="I533" s="85"/>
      <c r="J533" s="85"/>
      <c r="K533" s="85"/>
      <c r="L533" s="85"/>
      <c r="M533" s="85"/>
      <c r="N533" s="85"/>
      <c r="O533" s="85"/>
      <c r="P533" s="85"/>
      <c r="Q533" s="85"/>
      <c r="R533" s="85"/>
      <c r="S533" s="85"/>
      <c r="T533" s="85"/>
      <c r="U533" s="85"/>
      <c r="V533" s="85"/>
      <c r="W533" s="85"/>
      <c r="X533" s="85"/>
      <c r="Y533" s="85"/>
      <c r="Z533" s="85"/>
      <c r="AA533" s="85"/>
      <c r="AB533" s="85"/>
      <c r="AC533" s="85"/>
      <c r="AD533" s="85"/>
      <c r="AE533" s="85"/>
      <c r="AF533" s="85"/>
      <c r="AG533" s="85"/>
      <c r="AH533" s="85"/>
      <c r="AI533" s="85"/>
      <c r="AJ533" s="85"/>
      <c r="AK533" s="85"/>
      <c r="AL533" s="85"/>
      <c r="AM533" s="85"/>
      <c r="AN533" s="85"/>
      <c r="AO533" s="85"/>
      <c r="AP533" s="85"/>
      <c r="AQ533" s="85"/>
      <c r="AR533" s="85"/>
      <c r="AS533" s="85"/>
      <c r="AT533" s="85"/>
      <c r="AU533" s="85"/>
      <c r="AV533" s="85"/>
      <c r="AW533" s="85"/>
      <c r="AX533" s="85"/>
      <c r="AY533" s="85"/>
      <c r="AZ533" s="85"/>
      <c r="BA533" s="85"/>
    </row>
    <row r="534" spans="1:53" hidden="1">
      <c r="A534" s="85"/>
      <c r="B534" s="85"/>
      <c r="C534" s="85"/>
      <c r="D534" s="85"/>
      <c r="E534" s="85"/>
      <c r="F534" s="85"/>
      <c r="G534" s="85"/>
      <c r="H534" s="85"/>
      <c r="I534" s="85"/>
      <c r="J534" s="85"/>
      <c r="K534" s="85"/>
      <c r="L534" s="85"/>
      <c r="M534" s="85"/>
      <c r="N534" s="85"/>
      <c r="O534" s="85"/>
      <c r="P534" s="85"/>
      <c r="Q534" s="85"/>
      <c r="R534" s="85"/>
      <c r="S534" s="85"/>
      <c r="T534" s="85"/>
      <c r="U534" s="85"/>
      <c r="V534" s="85"/>
      <c r="W534" s="85"/>
      <c r="X534" s="85"/>
      <c r="Y534" s="85"/>
      <c r="Z534" s="85"/>
      <c r="AA534" s="85"/>
      <c r="AB534" s="85"/>
      <c r="AC534" s="85"/>
      <c r="AD534" s="85"/>
      <c r="AE534" s="85"/>
      <c r="AF534" s="85"/>
      <c r="AG534" s="85"/>
      <c r="AH534" s="85"/>
      <c r="AI534" s="85"/>
      <c r="AJ534" s="85"/>
      <c r="AK534" s="85"/>
      <c r="AL534" s="85"/>
      <c r="AM534" s="85"/>
      <c r="AN534" s="85"/>
      <c r="AO534" s="85"/>
      <c r="AP534" s="85"/>
      <c r="AQ534" s="85"/>
      <c r="AR534" s="85"/>
      <c r="AS534" s="85"/>
      <c r="AT534" s="85"/>
      <c r="AU534" s="85"/>
      <c r="AV534" s="85"/>
      <c r="AW534" s="85"/>
      <c r="AX534" s="85"/>
      <c r="AY534" s="85"/>
      <c r="AZ534" s="85"/>
      <c r="BA534" s="85"/>
    </row>
    <row r="535" spans="1:53" hidden="1">
      <c r="A535" s="85"/>
      <c r="B535" s="85"/>
      <c r="C535" s="85"/>
      <c r="D535" s="85"/>
      <c r="E535" s="85"/>
      <c r="F535" s="85"/>
      <c r="G535" s="85"/>
      <c r="H535" s="85"/>
      <c r="I535" s="85"/>
      <c r="J535" s="85"/>
      <c r="K535" s="85"/>
      <c r="L535" s="85"/>
      <c r="M535" s="85"/>
      <c r="N535" s="85"/>
      <c r="O535" s="85"/>
      <c r="P535" s="85"/>
      <c r="Q535" s="85"/>
      <c r="R535" s="85"/>
      <c r="S535" s="85"/>
      <c r="T535" s="85"/>
      <c r="U535" s="85"/>
      <c r="V535" s="85"/>
      <c r="W535" s="85"/>
      <c r="X535" s="85"/>
      <c r="Y535" s="85"/>
      <c r="Z535" s="85"/>
      <c r="AA535" s="85"/>
      <c r="AB535" s="85"/>
      <c r="AC535" s="85"/>
      <c r="AD535" s="85"/>
      <c r="AE535" s="85"/>
      <c r="AF535" s="85"/>
      <c r="AG535" s="85"/>
      <c r="AH535" s="85"/>
      <c r="AI535" s="85"/>
      <c r="AJ535" s="85"/>
      <c r="AK535" s="85"/>
      <c r="AL535" s="85"/>
      <c r="AM535" s="85"/>
      <c r="AN535" s="85"/>
      <c r="AO535" s="85"/>
      <c r="AP535" s="85"/>
      <c r="AQ535" s="85"/>
      <c r="AR535" s="85"/>
      <c r="AS535" s="85"/>
      <c r="AT535" s="85"/>
      <c r="AU535" s="85"/>
      <c r="AV535" s="85"/>
      <c r="AW535" s="85"/>
      <c r="AX535" s="85"/>
      <c r="AY535" s="85"/>
      <c r="AZ535" s="85"/>
      <c r="BA535" s="85"/>
    </row>
    <row r="536" spans="1:53" hidden="1">
      <c r="A536" s="85"/>
      <c r="B536" s="85"/>
      <c r="C536" s="85"/>
      <c r="D536" s="85"/>
      <c r="E536" s="85"/>
      <c r="F536" s="85"/>
      <c r="G536" s="85"/>
      <c r="H536" s="85"/>
      <c r="I536" s="85"/>
      <c r="J536" s="85"/>
      <c r="K536" s="85"/>
      <c r="L536" s="85"/>
      <c r="M536" s="85"/>
      <c r="N536" s="85"/>
      <c r="O536" s="85"/>
      <c r="P536" s="85"/>
      <c r="Q536" s="85"/>
      <c r="R536" s="85"/>
      <c r="S536" s="85"/>
      <c r="T536" s="85"/>
      <c r="U536" s="85"/>
      <c r="V536" s="85"/>
      <c r="W536" s="85"/>
      <c r="X536" s="85"/>
      <c r="Y536" s="85"/>
      <c r="Z536" s="85"/>
      <c r="AA536" s="85"/>
      <c r="AB536" s="85"/>
      <c r="AC536" s="85"/>
      <c r="AD536" s="85"/>
      <c r="AE536" s="85"/>
      <c r="AF536" s="85"/>
      <c r="AG536" s="85"/>
      <c r="AH536" s="85"/>
      <c r="AI536" s="85"/>
      <c r="AJ536" s="85"/>
      <c r="AK536" s="85"/>
      <c r="AL536" s="85"/>
      <c r="AM536" s="85"/>
      <c r="AN536" s="85"/>
      <c r="AO536" s="85"/>
      <c r="AP536" s="85"/>
      <c r="AQ536" s="85"/>
      <c r="AR536" s="85"/>
      <c r="AS536" s="85"/>
      <c r="AT536" s="85"/>
      <c r="AU536" s="85"/>
      <c r="AV536" s="85"/>
      <c r="AW536" s="85"/>
      <c r="AX536" s="85"/>
      <c r="AY536" s="85"/>
      <c r="AZ536" s="85"/>
      <c r="BA536" s="85"/>
    </row>
    <row r="537" spans="1:53" hidden="1">
      <c r="A537" s="85"/>
      <c r="B537" s="85"/>
      <c r="C537" s="85"/>
      <c r="D537" s="85"/>
      <c r="E537" s="85"/>
      <c r="F537" s="85"/>
      <c r="G537" s="85"/>
      <c r="H537" s="85"/>
      <c r="I537" s="85"/>
      <c r="J537" s="85"/>
      <c r="K537" s="85"/>
      <c r="L537" s="85"/>
      <c r="M537" s="85"/>
      <c r="N537" s="85"/>
      <c r="O537" s="85"/>
      <c r="P537" s="85"/>
      <c r="Q537" s="85"/>
      <c r="R537" s="85"/>
      <c r="S537" s="85"/>
      <c r="T537" s="85"/>
      <c r="U537" s="85"/>
      <c r="V537" s="85"/>
      <c r="W537" s="85"/>
      <c r="X537" s="85"/>
      <c r="Y537" s="85"/>
      <c r="Z537" s="85"/>
      <c r="AA537" s="85"/>
      <c r="AB537" s="85"/>
      <c r="AC537" s="85"/>
      <c r="AD537" s="85"/>
      <c r="AE537" s="85"/>
      <c r="AF537" s="85"/>
      <c r="AG537" s="85"/>
      <c r="AH537" s="85"/>
      <c r="AI537" s="85"/>
      <c r="AJ537" s="85"/>
      <c r="AK537" s="85"/>
      <c r="AL537" s="85"/>
      <c r="AM537" s="85"/>
      <c r="AN537" s="85"/>
      <c r="AO537" s="85"/>
      <c r="AP537" s="85"/>
      <c r="AQ537" s="85"/>
      <c r="AR537" s="85"/>
      <c r="AS537" s="85"/>
      <c r="AT537" s="85"/>
      <c r="AU537" s="85"/>
      <c r="AV537" s="85"/>
      <c r="AW537" s="85"/>
      <c r="AX537" s="85"/>
      <c r="AY537" s="85"/>
      <c r="AZ537" s="85"/>
      <c r="BA537" s="85"/>
    </row>
    <row r="538" spans="1:53" hidden="1">
      <c r="A538" s="85"/>
      <c r="B538" s="85"/>
      <c r="C538" s="85"/>
      <c r="D538" s="85"/>
      <c r="E538" s="85"/>
      <c r="F538" s="85"/>
      <c r="G538" s="85"/>
      <c r="H538" s="85"/>
      <c r="I538" s="85"/>
      <c r="J538" s="85"/>
      <c r="K538" s="85"/>
      <c r="L538" s="85"/>
      <c r="M538" s="85"/>
      <c r="N538" s="85"/>
      <c r="O538" s="85"/>
      <c r="P538" s="85"/>
      <c r="Q538" s="85"/>
      <c r="R538" s="85"/>
      <c r="S538" s="85"/>
      <c r="T538" s="85"/>
      <c r="U538" s="85"/>
      <c r="V538" s="85"/>
      <c r="W538" s="85"/>
      <c r="X538" s="85"/>
      <c r="Y538" s="85"/>
      <c r="Z538" s="85"/>
      <c r="AA538" s="85"/>
      <c r="AB538" s="85"/>
      <c r="AC538" s="85"/>
      <c r="AD538" s="85"/>
      <c r="AE538" s="85"/>
      <c r="AF538" s="85"/>
      <c r="AG538" s="85"/>
      <c r="AH538" s="85"/>
      <c r="AI538" s="85"/>
      <c r="AJ538" s="85"/>
      <c r="AK538" s="85"/>
      <c r="AL538" s="85"/>
      <c r="AM538" s="85"/>
      <c r="AN538" s="85"/>
      <c r="AO538" s="85"/>
      <c r="AP538" s="85"/>
      <c r="AQ538" s="85"/>
      <c r="AR538" s="85"/>
      <c r="AS538" s="85"/>
      <c r="AT538" s="85"/>
      <c r="AU538" s="85"/>
      <c r="AV538" s="85"/>
      <c r="AW538" s="85"/>
      <c r="AX538" s="85"/>
      <c r="AY538" s="85"/>
      <c r="AZ538" s="85"/>
      <c r="BA538" s="85"/>
    </row>
    <row r="539" spans="1:53" hidden="1">
      <c r="A539" s="85"/>
      <c r="B539" s="85"/>
      <c r="C539" s="85"/>
      <c r="D539" s="85"/>
      <c r="E539" s="85"/>
      <c r="F539" s="85"/>
      <c r="G539" s="85"/>
      <c r="H539" s="85"/>
      <c r="I539" s="85"/>
      <c r="J539" s="85"/>
      <c r="K539" s="85"/>
      <c r="L539" s="85"/>
      <c r="M539" s="85"/>
      <c r="N539" s="85"/>
      <c r="O539" s="85"/>
      <c r="P539" s="85"/>
      <c r="Q539" s="85"/>
      <c r="R539" s="85"/>
      <c r="S539" s="85"/>
      <c r="T539" s="85"/>
      <c r="U539" s="85"/>
      <c r="V539" s="85"/>
      <c r="W539" s="85"/>
      <c r="X539" s="85"/>
      <c r="Y539" s="85"/>
      <c r="Z539" s="85"/>
      <c r="AA539" s="85"/>
      <c r="AB539" s="85"/>
      <c r="AC539" s="85"/>
      <c r="AD539" s="85"/>
      <c r="AE539" s="85"/>
      <c r="AF539" s="85"/>
      <c r="AG539" s="85"/>
      <c r="AH539" s="85"/>
      <c r="AI539" s="85"/>
      <c r="AJ539" s="85"/>
      <c r="AK539" s="85"/>
      <c r="AL539" s="85"/>
      <c r="AM539" s="85"/>
      <c r="AN539" s="85"/>
      <c r="AO539" s="85"/>
      <c r="AP539" s="85"/>
      <c r="AQ539" s="85"/>
      <c r="AR539" s="85"/>
      <c r="AS539" s="85"/>
      <c r="AT539" s="85"/>
      <c r="AU539" s="85"/>
      <c r="AV539" s="85"/>
      <c r="AW539" s="85"/>
      <c r="AX539" s="85"/>
      <c r="AY539" s="85"/>
      <c r="AZ539" s="85"/>
      <c r="BA539" s="85"/>
    </row>
    <row r="540" spans="1:53" hidden="1">
      <c r="A540" s="85"/>
      <c r="B540" s="85"/>
      <c r="C540" s="85"/>
      <c r="D540" s="85"/>
      <c r="E540" s="85"/>
      <c r="F540" s="85"/>
      <c r="G540" s="85"/>
      <c r="H540" s="85"/>
      <c r="I540" s="85"/>
      <c r="J540" s="85"/>
      <c r="K540" s="85"/>
      <c r="L540" s="85"/>
      <c r="M540" s="85"/>
      <c r="N540" s="85"/>
      <c r="O540" s="85"/>
      <c r="P540" s="85"/>
      <c r="Q540" s="85"/>
      <c r="R540" s="85"/>
      <c r="S540" s="85"/>
      <c r="T540" s="85"/>
      <c r="U540" s="85"/>
      <c r="V540" s="85"/>
      <c r="W540" s="85"/>
      <c r="X540" s="85"/>
      <c r="Y540" s="85"/>
      <c r="Z540" s="85"/>
      <c r="AA540" s="85"/>
      <c r="AB540" s="85"/>
      <c r="AC540" s="85"/>
      <c r="AD540" s="85"/>
      <c r="AE540" s="85"/>
      <c r="AF540" s="85"/>
      <c r="AG540" s="85"/>
      <c r="AH540" s="85"/>
      <c r="AI540" s="85"/>
      <c r="AJ540" s="85"/>
      <c r="AK540" s="85"/>
      <c r="AL540" s="85"/>
      <c r="AM540" s="85"/>
      <c r="AN540" s="85"/>
      <c r="AO540" s="85"/>
      <c r="AP540" s="85"/>
      <c r="AQ540" s="85"/>
      <c r="AR540" s="85"/>
      <c r="AS540" s="85"/>
      <c r="AT540" s="85"/>
      <c r="AU540" s="85"/>
      <c r="AV540" s="85"/>
      <c r="AW540" s="85"/>
      <c r="AX540" s="85"/>
      <c r="AY540" s="85"/>
      <c r="AZ540" s="85"/>
      <c r="BA540" s="85"/>
    </row>
    <row r="541" spans="1:53" hidden="1">
      <c r="A541" s="85"/>
      <c r="B541" s="85"/>
      <c r="C541" s="85"/>
      <c r="D541" s="85"/>
      <c r="E541" s="85"/>
      <c r="F541" s="85"/>
      <c r="G541" s="85"/>
      <c r="H541" s="85"/>
      <c r="I541" s="85"/>
      <c r="J541" s="85"/>
      <c r="K541" s="85"/>
      <c r="L541" s="85"/>
      <c r="M541" s="85"/>
      <c r="N541" s="85"/>
      <c r="O541" s="85"/>
      <c r="P541" s="85"/>
      <c r="Q541" s="85"/>
      <c r="R541" s="85"/>
      <c r="S541" s="85"/>
      <c r="T541" s="85"/>
      <c r="U541" s="85"/>
      <c r="V541" s="85"/>
      <c r="W541" s="85"/>
      <c r="X541" s="85"/>
      <c r="Y541" s="85"/>
      <c r="Z541" s="85"/>
      <c r="AA541" s="85"/>
      <c r="AB541" s="85"/>
      <c r="AC541" s="85"/>
      <c r="AD541" s="85"/>
      <c r="AE541" s="85"/>
      <c r="AF541" s="85"/>
      <c r="AG541" s="85"/>
      <c r="AH541" s="85"/>
      <c r="AI541" s="85"/>
      <c r="AJ541" s="85"/>
      <c r="AK541" s="85"/>
      <c r="AL541" s="85"/>
      <c r="AM541" s="85"/>
      <c r="AN541" s="85"/>
      <c r="AO541" s="85"/>
      <c r="AP541" s="85"/>
      <c r="AQ541" s="85"/>
      <c r="AR541" s="85"/>
      <c r="AS541" s="85"/>
      <c r="AT541" s="85"/>
      <c r="AU541" s="85"/>
      <c r="AV541" s="85"/>
      <c r="AW541" s="85"/>
      <c r="AX541" s="85"/>
      <c r="AY541" s="85"/>
      <c r="AZ541" s="85"/>
      <c r="BA541" s="85"/>
    </row>
    <row r="542" spans="1:53" hidden="1">
      <c r="A542" s="85"/>
      <c r="B542" s="85"/>
      <c r="C542" s="85"/>
      <c r="D542" s="85"/>
      <c r="E542" s="85"/>
      <c r="F542" s="85"/>
      <c r="G542" s="85"/>
      <c r="H542" s="85"/>
      <c r="I542" s="85"/>
      <c r="J542" s="85"/>
      <c r="K542" s="85"/>
      <c r="L542" s="85"/>
      <c r="M542" s="85"/>
      <c r="N542" s="85"/>
      <c r="O542" s="85"/>
      <c r="P542" s="85"/>
      <c r="Q542" s="85"/>
      <c r="R542" s="85"/>
      <c r="S542" s="85"/>
      <c r="T542" s="85"/>
      <c r="U542" s="85"/>
      <c r="V542" s="85"/>
      <c r="W542" s="85"/>
      <c r="X542" s="85"/>
      <c r="Y542" s="85"/>
      <c r="Z542" s="85"/>
      <c r="AA542" s="85"/>
      <c r="AB542" s="85"/>
      <c r="AC542" s="85"/>
      <c r="AD542" s="85"/>
      <c r="AE542" s="85"/>
      <c r="AF542" s="85"/>
      <c r="AG542" s="85"/>
      <c r="AH542" s="85"/>
      <c r="AI542" s="85"/>
      <c r="AJ542" s="85"/>
      <c r="AK542" s="85"/>
      <c r="AL542" s="85"/>
      <c r="AM542" s="85"/>
      <c r="AN542" s="85"/>
      <c r="AO542" s="85"/>
      <c r="AP542" s="85"/>
      <c r="AQ542" s="85"/>
      <c r="AR542" s="85"/>
      <c r="AS542" s="85"/>
      <c r="AT542" s="85"/>
      <c r="AU542" s="85"/>
      <c r="AV542" s="85"/>
      <c r="AW542" s="85"/>
      <c r="AX542" s="85"/>
      <c r="AY542" s="85"/>
      <c r="AZ542" s="85"/>
      <c r="BA542" s="85"/>
    </row>
    <row r="543" spans="1:53" hidden="1">
      <c r="A543" s="85"/>
      <c r="B543" s="85"/>
      <c r="C543" s="85"/>
      <c r="D543" s="85"/>
      <c r="E543" s="85"/>
      <c r="F543" s="85"/>
      <c r="G543" s="85"/>
      <c r="H543" s="85"/>
      <c r="I543" s="85"/>
      <c r="J543" s="85"/>
      <c r="K543" s="85"/>
      <c r="L543" s="85"/>
      <c r="M543" s="85"/>
      <c r="N543" s="85"/>
      <c r="O543" s="85"/>
      <c r="P543" s="85"/>
      <c r="Q543" s="85"/>
      <c r="R543" s="85"/>
      <c r="S543" s="85"/>
      <c r="T543" s="85"/>
      <c r="U543" s="85"/>
      <c r="V543" s="85"/>
      <c r="W543" s="85"/>
      <c r="X543" s="85"/>
      <c r="Y543" s="85"/>
      <c r="Z543" s="85"/>
      <c r="AA543" s="85"/>
      <c r="AB543" s="85"/>
      <c r="AC543" s="85"/>
      <c r="AD543" s="85"/>
      <c r="AE543" s="85"/>
      <c r="AF543" s="85"/>
      <c r="AG543" s="85"/>
      <c r="AH543" s="85"/>
      <c r="AI543" s="85"/>
      <c r="AJ543" s="85"/>
      <c r="AK543" s="85"/>
      <c r="AL543" s="85"/>
      <c r="AM543" s="85"/>
      <c r="AN543" s="85"/>
      <c r="AO543" s="85"/>
      <c r="AP543" s="85"/>
      <c r="AQ543" s="85"/>
      <c r="AR543" s="85"/>
      <c r="AS543" s="85"/>
      <c r="AT543" s="85"/>
      <c r="AU543" s="85"/>
      <c r="AV543" s="85"/>
      <c r="AW543" s="85"/>
      <c r="AX543" s="85"/>
      <c r="AY543" s="85"/>
      <c r="AZ543" s="85"/>
      <c r="BA543" s="85"/>
    </row>
    <row r="544" spans="1:53" hidden="1">
      <c r="A544" s="85"/>
      <c r="B544" s="85"/>
      <c r="C544" s="85"/>
      <c r="D544" s="85"/>
      <c r="E544" s="85"/>
      <c r="F544" s="85"/>
      <c r="G544" s="85"/>
      <c r="H544" s="85"/>
      <c r="I544" s="85"/>
      <c r="J544" s="85"/>
      <c r="K544" s="85"/>
      <c r="L544" s="85"/>
      <c r="M544" s="85"/>
      <c r="N544" s="85"/>
      <c r="O544" s="85"/>
      <c r="P544" s="85"/>
      <c r="Q544" s="85"/>
      <c r="R544" s="85"/>
      <c r="S544" s="85"/>
      <c r="T544" s="85"/>
      <c r="U544" s="85"/>
      <c r="V544" s="85"/>
      <c r="W544" s="85"/>
      <c r="X544" s="85"/>
      <c r="Y544" s="85"/>
      <c r="Z544" s="85"/>
      <c r="AA544" s="85"/>
      <c r="AB544" s="85"/>
      <c r="AC544" s="85"/>
      <c r="AD544" s="85"/>
      <c r="AE544" s="85"/>
      <c r="AF544" s="85"/>
      <c r="AG544" s="85"/>
      <c r="AH544" s="85"/>
      <c r="AI544" s="85"/>
      <c r="AJ544" s="85"/>
      <c r="AK544" s="85"/>
      <c r="AL544" s="85"/>
      <c r="AM544" s="85"/>
      <c r="AN544" s="85"/>
      <c r="AO544" s="85"/>
      <c r="AP544" s="85"/>
      <c r="AQ544" s="85"/>
      <c r="AR544" s="85"/>
      <c r="AS544" s="85"/>
      <c r="AT544" s="85"/>
      <c r="AU544" s="85"/>
      <c r="AV544" s="85"/>
      <c r="AW544" s="85"/>
      <c r="AX544" s="85"/>
      <c r="AY544" s="85"/>
      <c r="AZ544" s="85"/>
      <c r="BA544" s="85"/>
    </row>
    <row r="545" spans="1:53" hidden="1">
      <c r="A545" s="85"/>
      <c r="B545" s="85"/>
      <c r="C545" s="85"/>
      <c r="D545" s="85"/>
      <c r="E545" s="85"/>
      <c r="F545" s="85"/>
      <c r="G545" s="85"/>
      <c r="H545" s="85"/>
      <c r="I545" s="85"/>
      <c r="J545" s="85"/>
      <c r="K545" s="85"/>
      <c r="L545" s="85"/>
      <c r="M545" s="85"/>
      <c r="N545" s="85"/>
      <c r="O545" s="85"/>
      <c r="P545" s="85"/>
      <c r="Q545" s="85"/>
      <c r="R545" s="85"/>
      <c r="S545" s="85"/>
      <c r="T545" s="85"/>
      <c r="U545" s="85"/>
      <c r="V545" s="85"/>
      <c r="W545" s="85"/>
      <c r="X545" s="85"/>
      <c r="Y545" s="85"/>
      <c r="Z545" s="85"/>
      <c r="AA545" s="85"/>
      <c r="AB545" s="85"/>
      <c r="AC545" s="85"/>
      <c r="AD545" s="85"/>
      <c r="AE545" s="85"/>
      <c r="AF545" s="85"/>
      <c r="AG545" s="85"/>
      <c r="AH545" s="85"/>
      <c r="AI545" s="85"/>
      <c r="AJ545" s="85"/>
      <c r="AK545" s="85"/>
      <c r="AL545" s="85"/>
      <c r="AM545" s="85"/>
      <c r="AN545" s="85"/>
      <c r="AO545" s="85"/>
      <c r="AP545" s="85"/>
      <c r="AQ545" s="85"/>
      <c r="AR545" s="85"/>
      <c r="AS545" s="85"/>
      <c r="AT545" s="85"/>
      <c r="AU545" s="85"/>
      <c r="AV545" s="85"/>
      <c r="AW545" s="85"/>
      <c r="AX545" s="85"/>
      <c r="AY545" s="85"/>
      <c r="AZ545" s="85"/>
      <c r="BA545" s="85"/>
    </row>
  </sheetData>
  <sheetProtection sheet="1" objects="1" scenarios="1" selectLockedCells="1"/>
  <mergeCells count="2094">
    <mergeCell ref="AL2:AN2"/>
    <mergeCell ref="AF2:AJ2"/>
    <mergeCell ref="D14:E14"/>
    <mergeCell ref="D18:E18"/>
    <mergeCell ref="D15:E15"/>
    <mergeCell ref="D20:E20"/>
    <mergeCell ref="D16:E17"/>
    <mergeCell ref="F16:F17"/>
    <mergeCell ref="C13:F13"/>
    <mergeCell ref="F520:G520"/>
    <mergeCell ref="F521:G521"/>
    <mergeCell ref="F522:G522"/>
    <mergeCell ref="F503:G503"/>
    <mergeCell ref="F504:G504"/>
    <mergeCell ref="F505:G505"/>
    <mergeCell ref="F506:G506"/>
    <mergeCell ref="F507:G507"/>
    <mergeCell ref="F508:G508"/>
    <mergeCell ref="F509:G509"/>
    <mergeCell ref="F510:G510"/>
    <mergeCell ref="F511:G511"/>
    <mergeCell ref="F512:G512"/>
    <mergeCell ref="F513:G513"/>
    <mergeCell ref="F514:G514"/>
    <mergeCell ref="F515:G515"/>
    <mergeCell ref="F516:G516"/>
    <mergeCell ref="F517:G517"/>
    <mergeCell ref="F518:G518"/>
    <mergeCell ref="F519:G519"/>
    <mergeCell ref="F486:G486"/>
    <mergeCell ref="F487:G487"/>
    <mergeCell ref="F488:G488"/>
    <mergeCell ref="F468:G468"/>
    <mergeCell ref="F489:G489"/>
    <mergeCell ref="F490:G490"/>
    <mergeCell ref="F491:G491"/>
    <mergeCell ref="F492:G492"/>
    <mergeCell ref="F493:G493"/>
    <mergeCell ref="F494:G494"/>
    <mergeCell ref="F495:G495"/>
    <mergeCell ref="F496:G496"/>
    <mergeCell ref="F497:G497"/>
    <mergeCell ref="F498:G498"/>
    <mergeCell ref="F499:G499"/>
    <mergeCell ref="F500:G500"/>
    <mergeCell ref="F501:G501"/>
    <mergeCell ref="F502:G502"/>
    <mergeCell ref="F469:G469"/>
    <mergeCell ref="F470:G470"/>
    <mergeCell ref="F471:G471"/>
    <mergeCell ref="F472:G472"/>
    <mergeCell ref="F473:G473"/>
    <mergeCell ref="F474:G474"/>
    <mergeCell ref="F475:G475"/>
    <mergeCell ref="F476:G476"/>
    <mergeCell ref="F477:G477"/>
    <mergeCell ref="F478:G478"/>
    <mergeCell ref="F479:G479"/>
    <mergeCell ref="F480:G480"/>
    <mergeCell ref="F481:G481"/>
    <mergeCell ref="F482:G482"/>
    <mergeCell ref="F483:G483"/>
    <mergeCell ref="F484:G484"/>
    <mergeCell ref="F437:G437"/>
    <mergeCell ref="F438:G438"/>
    <mergeCell ref="F439:G439"/>
    <mergeCell ref="F440:G440"/>
    <mergeCell ref="F441:G441"/>
    <mergeCell ref="F442:G442"/>
    <mergeCell ref="F443:G443"/>
    <mergeCell ref="F444:G444"/>
    <mergeCell ref="F445:G445"/>
    <mergeCell ref="F446:G446"/>
    <mergeCell ref="F447:G447"/>
    <mergeCell ref="F448:G448"/>
    <mergeCell ref="F449:G449"/>
    <mergeCell ref="F450:G450"/>
    <mergeCell ref="F451:G451"/>
    <mergeCell ref="F485:G485"/>
    <mergeCell ref="F452:G452"/>
    <mergeCell ref="F453:G453"/>
    <mergeCell ref="F454:G454"/>
    <mergeCell ref="F455:G455"/>
    <mergeCell ref="F456:G456"/>
    <mergeCell ref="F457:G457"/>
    <mergeCell ref="F458:G458"/>
    <mergeCell ref="F459:G459"/>
    <mergeCell ref="F460:G460"/>
    <mergeCell ref="F461:G461"/>
    <mergeCell ref="F462:G462"/>
    <mergeCell ref="F463:G463"/>
    <mergeCell ref="F464:G464"/>
    <mergeCell ref="F465:G465"/>
    <mergeCell ref="F466:G466"/>
    <mergeCell ref="F467:G467"/>
    <mergeCell ref="F420:G420"/>
    <mergeCell ref="F421:G421"/>
    <mergeCell ref="F422:G422"/>
    <mergeCell ref="F423:G423"/>
    <mergeCell ref="F424:G424"/>
    <mergeCell ref="F425:G425"/>
    <mergeCell ref="F426:G426"/>
    <mergeCell ref="F427:G427"/>
    <mergeCell ref="F428:G428"/>
    <mergeCell ref="F429:G429"/>
    <mergeCell ref="F430:G430"/>
    <mergeCell ref="F431:G431"/>
    <mergeCell ref="F432:G432"/>
    <mergeCell ref="F433:G433"/>
    <mergeCell ref="F434:G434"/>
    <mergeCell ref="F435:G435"/>
    <mergeCell ref="F436:G436"/>
    <mergeCell ref="F403:G403"/>
    <mergeCell ref="F404:G404"/>
    <mergeCell ref="F405:G405"/>
    <mergeCell ref="F406:G406"/>
    <mergeCell ref="F407:G407"/>
    <mergeCell ref="F408:G408"/>
    <mergeCell ref="F409:G409"/>
    <mergeCell ref="F410:G410"/>
    <mergeCell ref="F411:G411"/>
    <mergeCell ref="F412:G412"/>
    <mergeCell ref="F413:G413"/>
    <mergeCell ref="F414:G414"/>
    <mergeCell ref="F415:G415"/>
    <mergeCell ref="F416:G416"/>
    <mergeCell ref="F417:G417"/>
    <mergeCell ref="F418:G418"/>
    <mergeCell ref="F419:G419"/>
    <mergeCell ref="F386:G386"/>
    <mergeCell ref="F387:G387"/>
    <mergeCell ref="F388:G388"/>
    <mergeCell ref="F389:G389"/>
    <mergeCell ref="F390:G390"/>
    <mergeCell ref="F391:G391"/>
    <mergeCell ref="F392:G392"/>
    <mergeCell ref="F393:G393"/>
    <mergeCell ref="F394:G394"/>
    <mergeCell ref="F395:G395"/>
    <mergeCell ref="F396:G396"/>
    <mergeCell ref="F397:G397"/>
    <mergeCell ref="F398:G398"/>
    <mergeCell ref="F399:G399"/>
    <mergeCell ref="F400:G400"/>
    <mergeCell ref="F401:G401"/>
    <mergeCell ref="F402:G402"/>
    <mergeCell ref="F369:G369"/>
    <mergeCell ref="F370:G370"/>
    <mergeCell ref="F371:G371"/>
    <mergeCell ref="F372:G372"/>
    <mergeCell ref="F373:G373"/>
    <mergeCell ref="F374:G374"/>
    <mergeCell ref="F375:G375"/>
    <mergeCell ref="F376:G376"/>
    <mergeCell ref="F377:G377"/>
    <mergeCell ref="F378:G378"/>
    <mergeCell ref="F379:G379"/>
    <mergeCell ref="F380:G380"/>
    <mergeCell ref="F381:G381"/>
    <mergeCell ref="F382:G382"/>
    <mergeCell ref="F383:G383"/>
    <mergeCell ref="F384:G384"/>
    <mergeCell ref="F385:G385"/>
    <mergeCell ref="F352:G352"/>
    <mergeCell ref="F353:G353"/>
    <mergeCell ref="F354:G354"/>
    <mergeCell ref="F355:G355"/>
    <mergeCell ref="F356:G356"/>
    <mergeCell ref="F357:G357"/>
    <mergeCell ref="F358:G358"/>
    <mergeCell ref="F359:G359"/>
    <mergeCell ref="F360:G360"/>
    <mergeCell ref="F361:G361"/>
    <mergeCell ref="F362:G362"/>
    <mergeCell ref="F363:G363"/>
    <mergeCell ref="F364:G364"/>
    <mergeCell ref="F365:G365"/>
    <mergeCell ref="F366:G366"/>
    <mergeCell ref="F367:G367"/>
    <mergeCell ref="F368:G368"/>
    <mergeCell ref="F335:G335"/>
    <mergeCell ref="F336:G336"/>
    <mergeCell ref="F337:G337"/>
    <mergeCell ref="F338:G338"/>
    <mergeCell ref="F339:G339"/>
    <mergeCell ref="F340:G340"/>
    <mergeCell ref="F341:G341"/>
    <mergeCell ref="F342:G342"/>
    <mergeCell ref="F343:G343"/>
    <mergeCell ref="F344:G344"/>
    <mergeCell ref="F345:G345"/>
    <mergeCell ref="F346:G346"/>
    <mergeCell ref="F347:G347"/>
    <mergeCell ref="F348:G348"/>
    <mergeCell ref="F349:G349"/>
    <mergeCell ref="F350:G350"/>
    <mergeCell ref="F351:G351"/>
    <mergeCell ref="F318:G318"/>
    <mergeCell ref="F319:G319"/>
    <mergeCell ref="F320:G320"/>
    <mergeCell ref="F321:G321"/>
    <mergeCell ref="F322:G322"/>
    <mergeCell ref="F323:G323"/>
    <mergeCell ref="F324:G324"/>
    <mergeCell ref="F325:G325"/>
    <mergeCell ref="F326:G326"/>
    <mergeCell ref="F327:G327"/>
    <mergeCell ref="F328:G328"/>
    <mergeCell ref="F329:G329"/>
    <mergeCell ref="F330:G330"/>
    <mergeCell ref="F331:G331"/>
    <mergeCell ref="F332:G332"/>
    <mergeCell ref="F333:G333"/>
    <mergeCell ref="F334:G334"/>
    <mergeCell ref="F301:G301"/>
    <mergeCell ref="F302:G302"/>
    <mergeCell ref="F303:G303"/>
    <mergeCell ref="F304:G304"/>
    <mergeCell ref="F305:G305"/>
    <mergeCell ref="F306:G306"/>
    <mergeCell ref="F307:G307"/>
    <mergeCell ref="F308:G308"/>
    <mergeCell ref="F309:G309"/>
    <mergeCell ref="F310:G310"/>
    <mergeCell ref="F311:G311"/>
    <mergeCell ref="F312:G312"/>
    <mergeCell ref="F313:G313"/>
    <mergeCell ref="F314:G314"/>
    <mergeCell ref="F315:G315"/>
    <mergeCell ref="F316:G316"/>
    <mergeCell ref="F317:G317"/>
    <mergeCell ref="F284:G284"/>
    <mergeCell ref="F285:G285"/>
    <mergeCell ref="F286:G286"/>
    <mergeCell ref="F287:G287"/>
    <mergeCell ref="F288:G288"/>
    <mergeCell ref="F289:G289"/>
    <mergeCell ref="F290:G290"/>
    <mergeCell ref="F291:G291"/>
    <mergeCell ref="F292:G292"/>
    <mergeCell ref="F293:G293"/>
    <mergeCell ref="F294:G294"/>
    <mergeCell ref="F295:G295"/>
    <mergeCell ref="F296:G296"/>
    <mergeCell ref="F297:G297"/>
    <mergeCell ref="F298:G298"/>
    <mergeCell ref="F299:G299"/>
    <mergeCell ref="F300:G300"/>
    <mergeCell ref="F267:G267"/>
    <mergeCell ref="F268:G268"/>
    <mergeCell ref="F269:G269"/>
    <mergeCell ref="F270:G270"/>
    <mergeCell ref="F271:G271"/>
    <mergeCell ref="F272:G272"/>
    <mergeCell ref="F273:G273"/>
    <mergeCell ref="F274:G274"/>
    <mergeCell ref="F275:G275"/>
    <mergeCell ref="F276:G276"/>
    <mergeCell ref="F277:G277"/>
    <mergeCell ref="F278:G278"/>
    <mergeCell ref="F279:G279"/>
    <mergeCell ref="F280:G280"/>
    <mergeCell ref="F281:G281"/>
    <mergeCell ref="F282:G282"/>
    <mergeCell ref="F283:G283"/>
    <mergeCell ref="F250:G250"/>
    <mergeCell ref="F251:G251"/>
    <mergeCell ref="F252:G252"/>
    <mergeCell ref="F253:G253"/>
    <mergeCell ref="F254:G254"/>
    <mergeCell ref="F255:G255"/>
    <mergeCell ref="F256:G256"/>
    <mergeCell ref="F257:G257"/>
    <mergeCell ref="F258:G258"/>
    <mergeCell ref="F259:G259"/>
    <mergeCell ref="F260:G260"/>
    <mergeCell ref="F261:G261"/>
    <mergeCell ref="F262:G262"/>
    <mergeCell ref="F263:G263"/>
    <mergeCell ref="F264:G264"/>
    <mergeCell ref="F265:G265"/>
    <mergeCell ref="F266:G266"/>
    <mergeCell ref="F233:G233"/>
    <mergeCell ref="F234:G234"/>
    <mergeCell ref="F235:G235"/>
    <mergeCell ref="F236:G236"/>
    <mergeCell ref="F237:G237"/>
    <mergeCell ref="F238:G238"/>
    <mergeCell ref="F239:G239"/>
    <mergeCell ref="F240:G240"/>
    <mergeCell ref="F241:G241"/>
    <mergeCell ref="F242:G242"/>
    <mergeCell ref="F243:G243"/>
    <mergeCell ref="F244:G244"/>
    <mergeCell ref="F245:G245"/>
    <mergeCell ref="F246:G246"/>
    <mergeCell ref="F247:G247"/>
    <mergeCell ref="F248:G248"/>
    <mergeCell ref="F249:G249"/>
    <mergeCell ref="F216:G216"/>
    <mergeCell ref="F217:G217"/>
    <mergeCell ref="F218:G218"/>
    <mergeCell ref="F219:G219"/>
    <mergeCell ref="F220:G220"/>
    <mergeCell ref="F221:G221"/>
    <mergeCell ref="F222:G222"/>
    <mergeCell ref="F223:G223"/>
    <mergeCell ref="F224:G224"/>
    <mergeCell ref="F225:G225"/>
    <mergeCell ref="F226:G226"/>
    <mergeCell ref="F227:G227"/>
    <mergeCell ref="F228:G228"/>
    <mergeCell ref="F229:G229"/>
    <mergeCell ref="F230:G230"/>
    <mergeCell ref="F231:G231"/>
    <mergeCell ref="F232:G232"/>
    <mergeCell ref="F199:G199"/>
    <mergeCell ref="F200:G200"/>
    <mergeCell ref="F201:G201"/>
    <mergeCell ref="F202:G202"/>
    <mergeCell ref="F203:G203"/>
    <mergeCell ref="F204:G204"/>
    <mergeCell ref="F205:G205"/>
    <mergeCell ref="F206:G206"/>
    <mergeCell ref="F207:G207"/>
    <mergeCell ref="F208:G208"/>
    <mergeCell ref="F209:G209"/>
    <mergeCell ref="F210:G210"/>
    <mergeCell ref="F211:G211"/>
    <mergeCell ref="F212:G212"/>
    <mergeCell ref="F213:G213"/>
    <mergeCell ref="F214:G214"/>
    <mergeCell ref="F215:G215"/>
    <mergeCell ref="F182:G182"/>
    <mergeCell ref="F183:G183"/>
    <mergeCell ref="F184:G184"/>
    <mergeCell ref="F185:G185"/>
    <mergeCell ref="F186:G186"/>
    <mergeCell ref="F187:G187"/>
    <mergeCell ref="F188:G188"/>
    <mergeCell ref="F189:G189"/>
    <mergeCell ref="F190:G190"/>
    <mergeCell ref="F191:G191"/>
    <mergeCell ref="F192:G192"/>
    <mergeCell ref="F193:G193"/>
    <mergeCell ref="F194:G194"/>
    <mergeCell ref="F195:G195"/>
    <mergeCell ref="F196:G196"/>
    <mergeCell ref="F197:G197"/>
    <mergeCell ref="F198:G198"/>
    <mergeCell ref="F165:G165"/>
    <mergeCell ref="F166:G166"/>
    <mergeCell ref="F167:G167"/>
    <mergeCell ref="F168:G168"/>
    <mergeCell ref="F169:G169"/>
    <mergeCell ref="F170:G170"/>
    <mergeCell ref="F171:G171"/>
    <mergeCell ref="F172:G172"/>
    <mergeCell ref="F173:G173"/>
    <mergeCell ref="F174:G174"/>
    <mergeCell ref="F175:G175"/>
    <mergeCell ref="F176:G176"/>
    <mergeCell ref="F177:G177"/>
    <mergeCell ref="F178:G178"/>
    <mergeCell ref="F179:G179"/>
    <mergeCell ref="F180:G180"/>
    <mergeCell ref="F181:G181"/>
    <mergeCell ref="F148:G148"/>
    <mergeCell ref="F149:G149"/>
    <mergeCell ref="F150:G150"/>
    <mergeCell ref="F151:G151"/>
    <mergeCell ref="F152:G152"/>
    <mergeCell ref="F153:G153"/>
    <mergeCell ref="F154:G154"/>
    <mergeCell ref="F155:G155"/>
    <mergeCell ref="F156:G156"/>
    <mergeCell ref="F157:G157"/>
    <mergeCell ref="F158:G158"/>
    <mergeCell ref="F159:G159"/>
    <mergeCell ref="F160:G160"/>
    <mergeCell ref="F161:G161"/>
    <mergeCell ref="F162:G162"/>
    <mergeCell ref="F163:G163"/>
    <mergeCell ref="F164:G164"/>
    <mergeCell ref="F131:G131"/>
    <mergeCell ref="F132:G132"/>
    <mergeCell ref="F133:G133"/>
    <mergeCell ref="F134:G134"/>
    <mergeCell ref="F135:G135"/>
    <mergeCell ref="F136:G136"/>
    <mergeCell ref="F137:G137"/>
    <mergeCell ref="F138:G138"/>
    <mergeCell ref="F139:G139"/>
    <mergeCell ref="F140:G140"/>
    <mergeCell ref="F141:G141"/>
    <mergeCell ref="F142:G142"/>
    <mergeCell ref="F143:G143"/>
    <mergeCell ref="F144:G144"/>
    <mergeCell ref="F145:G145"/>
    <mergeCell ref="F146:G146"/>
    <mergeCell ref="F147:G147"/>
    <mergeCell ref="F114:G114"/>
    <mergeCell ref="F115:G115"/>
    <mergeCell ref="F116:G116"/>
    <mergeCell ref="F117:G117"/>
    <mergeCell ref="F118:G118"/>
    <mergeCell ref="F119:G119"/>
    <mergeCell ref="F120:G120"/>
    <mergeCell ref="F121:G121"/>
    <mergeCell ref="F122:G122"/>
    <mergeCell ref="F123:G123"/>
    <mergeCell ref="F124:G124"/>
    <mergeCell ref="F125:G125"/>
    <mergeCell ref="F126:G126"/>
    <mergeCell ref="F127:G127"/>
    <mergeCell ref="F128:G128"/>
    <mergeCell ref="F129:G129"/>
    <mergeCell ref="F130:G130"/>
    <mergeCell ref="F97:G97"/>
    <mergeCell ref="F98:G98"/>
    <mergeCell ref="F99:G99"/>
    <mergeCell ref="F100:G100"/>
    <mergeCell ref="F101:G101"/>
    <mergeCell ref="F102:G102"/>
    <mergeCell ref="F103:G103"/>
    <mergeCell ref="F104:G104"/>
    <mergeCell ref="F105:G105"/>
    <mergeCell ref="F106:G106"/>
    <mergeCell ref="F107:G107"/>
    <mergeCell ref="F108:G108"/>
    <mergeCell ref="F109:G109"/>
    <mergeCell ref="F110:G110"/>
    <mergeCell ref="F111:G111"/>
    <mergeCell ref="F112:G112"/>
    <mergeCell ref="F113:G113"/>
    <mergeCell ref="F80:G80"/>
    <mergeCell ref="F81:G81"/>
    <mergeCell ref="F82:G82"/>
    <mergeCell ref="F83:G83"/>
    <mergeCell ref="F84:G84"/>
    <mergeCell ref="F85:G85"/>
    <mergeCell ref="F86:G86"/>
    <mergeCell ref="F87:G87"/>
    <mergeCell ref="F88:G88"/>
    <mergeCell ref="F89:G89"/>
    <mergeCell ref="F90:G90"/>
    <mergeCell ref="F91:G91"/>
    <mergeCell ref="F92:G92"/>
    <mergeCell ref="F93:G93"/>
    <mergeCell ref="F94:G94"/>
    <mergeCell ref="F95:G95"/>
    <mergeCell ref="F96:G96"/>
    <mergeCell ref="C5:D5"/>
    <mergeCell ref="L6:M6"/>
    <mergeCell ref="J12:K13"/>
    <mergeCell ref="F24:G24"/>
    <mergeCell ref="F25:G25"/>
    <mergeCell ref="H130:J130"/>
    <mergeCell ref="H131:J131"/>
    <mergeCell ref="H132:J132"/>
    <mergeCell ref="H133:J133"/>
    <mergeCell ref="F41:G41"/>
    <mergeCell ref="F42:G42"/>
    <mergeCell ref="F43:G43"/>
    <mergeCell ref="F44:G44"/>
    <mergeCell ref="F61:G61"/>
    <mergeCell ref="F62:G62"/>
    <mergeCell ref="F63:G63"/>
    <mergeCell ref="F64:G64"/>
    <mergeCell ref="F65:G65"/>
    <mergeCell ref="F66:G66"/>
    <mergeCell ref="F67:G67"/>
    <mergeCell ref="F68:G68"/>
    <mergeCell ref="F69:G69"/>
    <mergeCell ref="F70:G70"/>
    <mergeCell ref="F71:G71"/>
    <mergeCell ref="F72:G72"/>
    <mergeCell ref="F73:G73"/>
    <mergeCell ref="F74:G74"/>
    <mergeCell ref="F75:G75"/>
    <mergeCell ref="F76:G76"/>
    <mergeCell ref="F77:G77"/>
    <mergeCell ref="F78:G78"/>
    <mergeCell ref="F79:G79"/>
    <mergeCell ref="H517:J517"/>
    <mergeCell ref="H511:J511"/>
    <mergeCell ref="H512:J512"/>
    <mergeCell ref="H518:J518"/>
    <mergeCell ref="H519:J519"/>
    <mergeCell ref="H435:J435"/>
    <mergeCell ref="H513:J513"/>
    <mergeCell ref="AB9:AC9"/>
    <mergeCell ref="H432:J432"/>
    <mergeCell ref="H431:J431"/>
    <mergeCell ref="H384:J384"/>
    <mergeCell ref="H385:J385"/>
    <mergeCell ref="H386:J386"/>
    <mergeCell ref="H387:J387"/>
    <mergeCell ref="H388:J388"/>
    <mergeCell ref="H389:J389"/>
    <mergeCell ref="H390:J390"/>
    <mergeCell ref="H391:J391"/>
    <mergeCell ref="H392:J392"/>
    <mergeCell ref="H393:J393"/>
    <mergeCell ref="H394:J394"/>
    <mergeCell ref="H395:J395"/>
    <mergeCell ref="H396:J396"/>
    <mergeCell ref="H397:J397"/>
    <mergeCell ref="H507:J507"/>
    <mergeCell ref="H508:J508"/>
    <mergeCell ref="H509:J509"/>
    <mergeCell ref="H510:J510"/>
    <mergeCell ref="H514:J514"/>
    <mergeCell ref="H515:J515"/>
    <mergeCell ref="H516:J516"/>
    <mergeCell ref="H457:J457"/>
    <mergeCell ref="H501:J501"/>
    <mergeCell ref="H502:J502"/>
    <mergeCell ref="H503:J503"/>
    <mergeCell ref="H504:J504"/>
    <mergeCell ref="H505:J505"/>
    <mergeCell ref="H506:J506"/>
    <mergeCell ref="H438:J438"/>
    <mergeCell ref="H439:J439"/>
    <mergeCell ref="H440:J440"/>
    <mergeCell ref="H441:J441"/>
    <mergeCell ref="H442:J442"/>
    <mergeCell ref="H443:J443"/>
    <mergeCell ref="H444:J444"/>
    <mergeCell ref="H445:J445"/>
    <mergeCell ref="H446:J446"/>
    <mergeCell ref="H447:J447"/>
    <mergeCell ref="H448:J448"/>
    <mergeCell ref="H449:J449"/>
    <mergeCell ref="H450:J450"/>
    <mergeCell ref="H451:J451"/>
    <mergeCell ref="H481:J481"/>
    <mergeCell ref="H483:J483"/>
    <mergeCell ref="H486:J486"/>
    <mergeCell ref="H487:J487"/>
    <mergeCell ref="H488:J488"/>
    <mergeCell ref="H489:J489"/>
    <mergeCell ref="H472:J472"/>
    <mergeCell ref="H484:J484"/>
    <mergeCell ref="H485:J485"/>
    <mergeCell ref="H496:J496"/>
    <mergeCell ref="Z131:AN131"/>
    <mergeCell ref="Z132:AN132"/>
    <mergeCell ref="H497:J497"/>
    <mergeCell ref="H498:J498"/>
    <mergeCell ref="Z133:AN133"/>
    <mergeCell ref="AA134:AG134"/>
    <mergeCell ref="Z135:AN135"/>
    <mergeCell ref="L15:M15"/>
    <mergeCell ref="J15:K15"/>
    <mergeCell ref="J14:K14"/>
    <mergeCell ref="Z15:AA15"/>
    <mergeCell ref="Z14:AA14"/>
    <mergeCell ref="Z12:AA13"/>
    <mergeCell ref="L20:M20"/>
    <mergeCell ref="AB18:AC18"/>
    <mergeCell ref="L11:M11"/>
    <mergeCell ref="AG4:AL4"/>
    <mergeCell ref="H433:J433"/>
    <mergeCell ref="H434:J434"/>
    <mergeCell ref="H428:J428"/>
    <mergeCell ref="H429:J429"/>
    <mergeCell ref="H381:J381"/>
    <mergeCell ref="H382:J382"/>
    <mergeCell ref="H383:J383"/>
    <mergeCell ref="H430:J430"/>
    <mergeCell ref="H417:J417"/>
    <mergeCell ref="H398:J398"/>
    <mergeCell ref="H401:J401"/>
    <mergeCell ref="H402:J402"/>
    <mergeCell ref="H403:J403"/>
    <mergeCell ref="H404:J404"/>
    <mergeCell ref="H405:J405"/>
    <mergeCell ref="H521:J521"/>
    <mergeCell ref="H466:J466"/>
    <mergeCell ref="H467:J467"/>
    <mergeCell ref="H468:J468"/>
    <mergeCell ref="H469:J469"/>
    <mergeCell ref="H470:J470"/>
    <mergeCell ref="H471:J471"/>
    <mergeCell ref="H520:J520"/>
    <mergeCell ref="H473:J473"/>
    <mergeCell ref="H474:J474"/>
    <mergeCell ref="H475:J475"/>
    <mergeCell ref="H476:J476"/>
    <mergeCell ref="H477:J477"/>
    <mergeCell ref="H478:J478"/>
    <mergeCell ref="H479:J479"/>
    <mergeCell ref="H480:J480"/>
    <mergeCell ref="H452:J452"/>
    <mergeCell ref="H453:J453"/>
    <mergeCell ref="H454:J454"/>
    <mergeCell ref="H455:J455"/>
    <mergeCell ref="H456:J456"/>
    <mergeCell ref="H458:J458"/>
    <mergeCell ref="H459:J459"/>
    <mergeCell ref="H460:J460"/>
    <mergeCell ref="H461:J461"/>
    <mergeCell ref="H462:J462"/>
    <mergeCell ref="H465:J465"/>
    <mergeCell ref="H463:J463"/>
    <mergeCell ref="H464:J464"/>
    <mergeCell ref="H482:J482"/>
    <mergeCell ref="H499:J499"/>
    <mergeCell ref="H500:J500"/>
    <mergeCell ref="H406:J406"/>
    <mergeCell ref="H407:J407"/>
    <mergeCell ref="H408:J408"/>
    <mergeCell ref="H409:J409"/>
    <mergeCell ref="H410:J410"/>
    <mergeCell ref="H411:J411"/>
    <mergeCell ref="H412:J412"/>
    <mergeCell ref="H413:J413"/>
    <mergeCell ref="H427:J427"/>
    <mergeCell ref="H423:J423"/>
    <mergeCell ref="H424:J424"/>
    <mergeCell ref="H425:J425"/>
    <mergeCell ref="H426:J426"/>
    <mergeCell ref="H418:J418"/>
    <mergeCell ref="H419:J419"/>
    <mergeCell ref="H420:J420"/>
    <mergeCell ref="H421:J421"/>
    <mergeCell ref="H422:J422"/>
    <mergeCell ref="H414:J414"/>
    <mergeCell ref="H415:J415"/>
    <mergeCell ref="H416:J416"/>
    <mergeCell ref="H351:J351"/>
    <mergeCell ref="H352:J352"/>
    <mergeCell ref="H353:J353"/>
    <mergeCell ref="H354:J354"/>
    <mergeCell ref="H355:J355"/>
    <mergeCell ref="H356:J356"/>
    <mergeCell ref="H357:J357"/>
    <mergeCell ref="H358:J358"/>
    <mergeCell ref="H359:J359"/>
    <mergeCell ref="H360:J360"/>
    <mergeCell ref="H361:J361"/>
    <mergeCell ref="H362:J362"/>
    <mergeCell ref="H363:J363"/>
    <mergeCell ref="H399:J399"/>
    <mergeCell ref="H400:J400"/>
    <mergeCell ref="H364:J364"/>
    <mergeCell ref="H365:J365"/>
    <mergeCell ref="H366:J366"/>
    <mergeCell ref="H367:J367"/>
    <mergeCell ref="H368:J368"/>
    <mergeCell ref="H369:J369"/>
    <mergeCell ref="H370:J370"/>
    <mergeCell ref="H371:J371"/>
    <mergeCell ref="H372:J372"/>
    <mergeCell ref="H373:J373"/>
    <mergeCell ref="H374:J374"/>
    <mergeCell ref="H375:J375"/>
    <mergeCell ref="H376:J376"/>
    <mergeCell ref="H377:J377"/>
    <mergeCell ref="H378:J378"/>
    <mergeCell ref="H379:J379"/>
    <mergeCell ref="H380:J380"/>
    <mergeCell ref="H334:J334"/>
    <mergeCell ref="H335:J335"/>
    <mergeCell ref="H336:J336"/>
    <mergeCell ref="H337:J337"/>
    <mergeCell ref="H338:J338"/>
    <mergeCell ref="H339:J339"/>
    <mergeCell ref="H340:J340"/>
    <mergeCell ref="H341:J341"/>
    <mergeCell ref="H342:J342"/>
    <mergeCell ref="H343:J343"/>
    <mergeCell ref="H344:J344"/>
    <mergeCell ref="H345:J345"/>
    <mergeCell ref="H346:J346"/>
    <mergeCell ref="H347:J347"/>
    <mergeCell ref="H348:J348"/>
    <mergeCell ref="H349:J349"/>
    <mergeCell ref="H350:J350"/>
    <mergeCell ref="H317:J317"/>
    <mergeCell ref="H318:J318"/>
    <mergeCell ref="H319:J319"/>
    <mergeCell ref="H320:J320"/>
    <mergeCell ref="H321:J321"/>
    <mergeCell ref="H322:J322"/>
    <mergeCell ref="H323:J323"/>
    <mergeCell ref="H324:J324"/>
    <mergeCell ref="H325:J325"/>
    <mergeCell ref="H326:J326"/>
    <mergeCell ref="H327:J327"/>
    <mergeCell ref="H328:J328"/>
    <mergeCell ref="H329:J329"/>
    <mergeCell ref="H330:J330"/>
    <mergeCell ref="H331:J331"/>
    <mergeCell ref="H332:J332"/>
    <mergeCell ref="H333:J333"/>
    <mergeCell ref="H300:J300"/>
    <mergeCell ref="H301:J301"/>
    <mergeCell ref="H302:J302"/>
    <mergeCell ref="H303:J303"/>
    <mergeCell ref="H304:J304"/>
    <mergeCell ref="H305:J305"/>
    <mergeCell ref="H306:J306"/>
    <mergeCell ref="H307:J307"/>
    <mergeCell ref="H308:J308"/>
    <mergeCell ref="H309:J309"/>
    <mergeCell ref="H310:J310"/>
    <mergeCell ref="H311:J311"/>
    <mergeCell ref="H312:J312"/>
    <mergeCell ref="H313:J313"/>
    <mergeCell ref="H314:J314"/>
    <mergeCell ref="H315:J315"/>
    <mergeCell ref="H316:J316"/>
    <mergeCell ref="H283:J283"/>
    <mergeCell ref="H284:J284"/>
    <mergeCell ref="H285:J285"/>
    <mergeCell ref="H286:J286"/>
    <mergeCell ref="H287:J287"/>
    <mergeCell ref="H288:J288"/>
    <mergeCell ref="H289:J289"/>
    <mergeCell ref="H290:J290"/>
    <mergeCell ref="H291:J291"/>
    <mergeCell ref="H292:J292"/>
    <mergeCell ref="H293:J293"/>
    <mergeCell ref="H294:J294"/>
    <mergeCell ref="H295:J295"/>
    <mergeCell ref="H296:J296"/>
    <mergeCell ref="H297:J297"/>
    <mergeCell ref="H298:J298"/>
    <mergeCell ref="H299:J299"/>
    <mergeCell ref="H266:J266"/>
    <mergeCell ref="H267:J267"/>
    <mergeCell ref="H268:J268"/>
    <mergeCell ref="H269:J269"/>
    <mergeCell ref="H270:J270"/>
    <mergeCell ref="H271:J271"/>
    <mergeCell ref="H272:J272"/>
    <mergeCell ref="H273:J273"/>
    <mergeCell ref="H274:J274"/>
    <mergeCell ref="H275:J275"/>
    <mergeCell ref="H276:J276"/>
    <mergeCell ref="H277:J277"/>
    <mergeCell ref="H278:J278"/>
    <mergeCell ref="H279:J279"/>
    <mergeCell ref="H280:J280"/>
    <mergeCell ref="H281:J281"/>
    <mergeCell ref="H282:J282"/>
    <mergeCell ref="H249:J249"/>
    <mergeCell ref="H250:J250"/>
    <mergeCell ref="H251:J251"/>
    <mergeCell ref="H252:J252"/>
    <mergeCell ref="H253:J253"/>
    <mergeCell ref="H254:J254"/>
    <mergeCell ref="H255:J255"/>
    <mergeCell ref="H256:J256"/>
    <mergeCell ref="H257:J257"/>
    <mergeCell ref="H258:J258"/>
    <mergeCell ref="H259:J259"/>
    <mergeCell ref="H260:J260"/>
    <mergeCell ref="H261:J261"/>
    <mergeCell ref="H262:J262"/>
    <mergeCell ref="H263:J263"/>
    <mergeCell ref="H264:J264"/>
    <mergeCell ref="H265:J265"/>
    <mergeCell ref="H232:J232"/>
    <mergeCell ref="H233:J233"/>
    <mergeCell ref="H234:J234"/>
    <mergeCell ref="H235:J235"/>
    <mergeCell ref="H236:J236"/>
    <mergeCell ref="H237:J237"/>
    <mergeCell ref="H238:J238"/>
    <mergeCell ref="H239:J239"/>
    <mergeCell ref="H240:J240"/>
    <mergeCell ref="H241:J241"/>
    <mergeCell ref="H242:J242"/>
    <mergeCell ref="H243:J243"/>
    <mergeCell ref="H244:J244"/>
    <mergeCell ref="H245:J245"/>
    <mergeCell ref="H246:J246"/>
    <mergeCell ref="H247:J247"/>
    <mergeCell ref="H248:J248"/>
    <mergeCell ref="H215:J215"/>
    <mergeCell ref="H216:J216"/>
    <mergeCell ref="H217:J217"/>
    <mergeCell ref="H218:J218"/>
    <mergeCell ref="H219:J219"/>
    <mergeCell ref="H220:J220"/>
    <mergeCell ref="H221:J221"/>
    <mergeCell ref="H222:J222"/>
    <mergeCell ref="H223:J223"/>
    <mergeCell ref="H224:J224"/>
    <mergeCell ref="H225:J225"/>
    <mergeCell ref="H226:J226"/>
    <mergeCell ref="H227:J227"/>
    <mergeCell ref="H228:J228"/>
    <mergeCell ref="H229:J229"/>
    <mergeCell ref="H230:J230"/>
    <mergeCell ref="H231:J231"/>
    <mergeCell ref="H198:J198"/>
    <mergeCell ref="H199:J199"/>
    <mergeCell ref="H200:J200"/>
    <mergeCell ref="H201:J201"/>
    <mergeCell ref="H202:J202"/>
    <mergeCell ref="H203:J203"/>
    <mergeCell ref="H204:J204"/>
    <mergeCell ref="H205:J205"/>
    <mergeCell ref="H206:J206"/>
    <mergeCell ref="H207:J207"/>
    <mergeCell ref="H208:J208"/>
    <mergeCell ref="H209:J209"/>
    <mergeCell ref="H210:J210"/>
    <mergeCell ref="H211:J211"/>
    <mergeCell ref="H212:J212"/>
    <mergeCell ref="H213:J213"/>
    <mergeCell ref="H214:J214"/>
    <mergeCell ref="H181:J181"/>
    <mergeCell ref="H182:J182"/>
    <mergeCell ref="H183:J183"/>
    <mergeCell ref="H184:J184"/>
    <mergeCell ref="H185:J185"/>
    <mergeCell ref="H186:J186"/>
    <mergeCell ref="H187:J187"/>
    <mergeCell ref="H188:J188"/>
    <mergeCell ref="H189:J189"/>
    <mergeCell ref="H190:J190"/>
    <mergeCell ref="H191:J191"/>
    <mergeCell ref="H192:J192"/>
    <mergeCell ref="H193:J193"/>
    <mergeCell ref="H194:J194"/>
    <mergeCell ref="H195:J195"/>
    <mergeCell ref="H196:J196"/>
    <mergeCell ref="H197:J197"/>
    <mergeCell ref="H164:J164"/>
    <mergeCell ref="H165:J165"/>
    <mergeCell ref="H166:J166"/>
    <mergeCell ref="H167:J167"/>
    <mergeCell ref="H168:J168"/>
    <mergeCell ref="H169:J169"/>
    <mergeCell ref="H170:J170"/>
    <mergeCell ref="H171:J171"/>
    <mergeCell ref="H172:J172"/>
    <mergeCell ref="H173:J173"/>
    <mergeCell ref="H174:J174"/>
    <mergeCell ref="H175:J175"/>
    <mergeCell ref="H176:J176"/>
    <mergeCell ref="H177:J177"/>
    <mergeCell ref="H178:J178"/>
    <mergeCell ref="H179:J179"/>
    <mergeCell ref="H180:J180"/>
    <mergeCell ref="H147:J147"/>
    <mergeCell ref="H148:J148"/>
    <mergeCell ref="H149:J149"/>
    <mergeCell ref="H150:J150"/>
    <mergeCell ref="H151:J151"/>
    <mergeCell ref="H152:J152"/>
    <mergeCell ref="H153:J153"/>
    <mergeCell ref="H154:J154"/>
    <mergeCell ref="H155:J155"/>
    <mergeCell ref="H156:J156"/>
    <mergeCell ref="H157:J157"/>
    <mergeCell ref="H158:J158"/>
    <mergeCell ref="H159:J159"/>
    <mergeCell ref="H160:J160"/>
    <mergeCell ref="H161:J161"/>
    <mergeCell ref="H162:J162"/>
    <mergeCell ref="H163:J163"/>
    <mergeCell ref="H144:J144"/>
    <mergeCell ref="H145:J145"/>
    <mergeCell ref="H146:J146"/>
    <mergeCell ref="H113:J113"/>
    <mergeCell ref="H114:J114"/>
    <mergeCell ref="H115:J115"/>
    <mergeCell ref="H116:J116"/>
    <mergeCell ref="H117:J117"/>
    <mergeCell ref="H118:J118"/>
    <mergeCell ref="H119:J119"/>
    <mergeCell ref="H120:J120"/>
    <mergeCell ref="H121:J121"/>
    <mergeCell ref="H122:J122"/>
    <mergeCell ref="H123:J123"/>
    <mergeCell ref="H124:J124"/>
    <mergeCell ref="H125:J125"/>
    <mergeCell ref="H126:J126"/>
    <mergeCell ref="H127:J127"/>
    <mergeCell ref="H128:J128"/>
    <mergeCell ref="H129:J129"/>
    <mergeCell ref="H106:J106"/>
    <mergeCell ref="H107:J107"/>
    <mergeCell ref="H108:J108"/>
    <mergeCell ref="H109:J109"/>
    <mergeCell ref="H110:J110"/>
    <mergeCell ref="H111:J111"/>
    <mergeCell ref="H112:J112"/>
    <mergeCell ref="H134:J134"/>
    <mergeCell ref="H135:J135"/>
    <mergeCell ref="H136:J136"/>
    <mergeCell ref="H137:J137"/>
    <mergeCell ref="H138:J138"/>
    <mergeCell ref="H139:J139"/>
    <mergeCell ref="H140:J140"/>
    <mergeCell ref="H141:J141"/>
    <mergeCell ref="H142:J142"/>
    <mergeCell ref="H143:J143"/>
    <mergeCell ref="H61:J61"/>
    <mergeCell ref="H90:J90"/>
    <mergeCell ref="H91:J91"/>
    <mergeCell ref="H92:J92"/>
    <mergeCell ref="H93:J93"/>
    <mergeCell ref="H94:J94"/>
    <mergeCell ref="H95:J95"/>
    <mergeCell ref="H96:J96"/>
    <mergeCell ref="H97:J97"/>
    <mergeCell ref="H98:J98"/>
    <mergeCell ref="H99:J99"/>
    <mergeCell ref="H100:J100"/>
    <mergeCell ref="H101:J101"/>
    <mergeCell ref="H102:J102"/>
    <mergeCell ref="H103:J103"/>
    <mergeCell ref="H104:J104"/>
    <mergeCell ref="H105:J105"/>
    <mergeCell ref="H80:J80"/>
    <mergeCell ref="H81:J81"/>
    <mergeCell ref="H82:J82"/>
    <mergeCell ref="H83:J83"/>
    <mergeCell ref="H84:J84"/>
    <mergeCell ref="H85:J85"/>
    <mergeCell ref="H78:J78"/>
    <mergeCell ref="H79:J79"/>
    <mergeCell ref="D513:E513"/>
    <mergeCell ref="D514:E514"/>
    <mergeCell ref="D515:E515"/>
    <mergeCell ref="D516:E516"/>
    <mergeCell ref="D517:E517"/>
    <mergeCell ref="D518:E518"/>
    <mergeCell ref="D519:E519"/>
    <mergeCell ref="D520:E520"/>
    <mergeCell ref="D521:E521"/>
    <mergeCell ref="D522:E522"/>
    <mergeCell ref="D523:E523"/>
    <mergeCell ref="H24:J24"/>
    <mergeCell ref="H25:J25"/>
    <mergeCell ref="H26:J26"/>
    <mergeCell ref="H27:J27"/>
    <mergeCell ref="H28:J28"/>
    <mergeCell ref="H29:J29"/>
    <mergeCell ref="H30:J30"/>
    <mergeCell ref="H31:J31"/>
    <mergeCell ref="H32:J32"/>
    <mergeCell ref="H33:J33"/>
    <mergeCell ref="H34:J34"/>
    <mergeCell ref="H35:J35"/>
    <mergeCell ref="H36:J36"/>
    <mergeCell ref="H37:J37"/>
    <mergeCell ref="H38:J38"/>
    <mergeCell ref="H39:J39"/>
    <mergeCell ref="H40:J40"/>
    <mergeCell ref="H48:J48"/>
    <mergeCell ref="H49:J49"/>
    <mergeCell ref="H50:J50"/>
    <mergeCell ref="H51:J51"/>
    <mergeCell ref="D496:E496"/>
    <mergeCell ref="D497:E497"/>
    <mergeCell ref="D498:E498"/>
    <mergeCell ref="D499:E499"/>
    <mergeCell ref="D500:E500"/>
    <mergeCell ref="D501:E501"/>
    <mergeCell ref="D502:E502"/>
    <mergeCell ref="D503:E503"/>
    <mergeCell ref="D504:E504"/>
    <mergeCell ref="D505:E505"/>
    <mergeCell ref="D506:E506"/>
    <mergeCell ref="D507:E507"/>
    <mergeCell ref="D508:E508"/>
    <mergeCell ref="D509:E509"/>
    <mergeCell ref="D510:E510"/>
    <mergeCell ref="D511:E511"/>
    <mergeCell ref="D512:E512"/>
    <mergeCell ref="D479:E479"/>
    <mergeCell ref="D480:E480"/>
    <mergeCell ref="D481:E481"/>
    <mergeCell ref="D482:E482"/>
    <mergeCell ref="D483:E483"/>
    <mergeCell ref="D484:E484"/>
    <mergeCell ref="D485:E485"/>
    <mergeCell ref="D486:E486"/>
    <mergeCell ref="D487:E487"/>
    <mergeCell ref="D488:E488"/>
    <mergeCell ref="D489:E489"/>
    <mergeCell ref="D490:E490"/>
    <mergeCell ref="D491:E491"/>
    <mergeCell ref="D492:E492"/>
    <mergeCell ref="D493:E493"/>
    <mergeCell ref="D494:E494"/>
    <mergeCell ref="D495:E495"/>
    <mergeCell ref="D462:E462"/>
    <mergeCell ref="D463:E463"/>
    <mergeCell ref="D464:E464"/>
    <mergeCell ref="D465:E465"/>
    <mergeCell ref="D466:E466"/>
    <mergeCell ref="D467:E467"/>
    <mergeCell ref="D468:E468"/>
    <mergeCell ref="D469:E469"/>
    <mergeCell ref="D470:E470"/>
    <mergeCell ref="D471:E471"/>
    <mergeCell ref="D472:E472"/>
    <mergeCell ref="D473:E473"/>
    <mergeCell ref="D474:E474"/>
    <mergeCell ref="D475:E475"/>
    <mergeCell ref="D476:E476"/>
    <mergeCell ref="D477:E477"/>
    <mergeCell ref="D478:E478"/>
    <mergeCell ref="D445:E445"/>
    <mergeCell ref="D446:E446"/>
    <mergeCell ref="D447:E447"/>
    <mergeCell ref="D448:E448"/>
    <mergeCell ref="D449:E449"/>
    <mergeCell ref="D450:E450"/>
    <mergeCell ref="D451:E451"/>
    <mergeCell ref="D452:E452"/>
    <mergeCell ref="D453:E453"/>
    <mergeCell ref="D454:E454"/>
    <mergeCell ref="D455:E455"/>
    <mergeCell ref="D456:E456"/>
    <mergeCell ref="D457:E457"/>
    <mergeCell ref="D458:E458"/>
    <mergeCell ref="D459:E459"/>
    <mergeCell ref="D460:E460"/>
    <mergeCell ref="D461:E461"/>
    <mergeCell ref="D428:E428"/>
    <mergeCell ref="D429:E429"/>
    <mergeCell ref="D430:E430"/>
    <mergeCell ref="D431:E431"/>
    <mergeCell ref="D432:E432"/>
    <mergeCell ref="D433:E433"/>
    <mergeCell ref="D434:E434"/>
    <mergeCell ref="D435:E435"/>
    <mergeCell ref="D436:E436"/>
    <mergeCell ref="D437:E437"/>
    <mergeCell ref="D438:E438"/>
    <mergeCell ref="D439:E439"/>
    <mergeCell ref="D440:E440"/>
    <mergeCell ref="D441:E441"/>
    <mergeCell ref="D442:E442"/>
    <mergeCell ref="D443:E443"/>
    <mergeCell ref="D444:E444"/>
    <mergeCell ref="D411:E411"/>
    <mergeCell ref="D412:E412"/>
    <mergeCell ref="D413:E413"/>
    <mergeCell ref="D414:E414"/>
    <mergeCell ref="D415:E415"/>
    <mergeCell ref="D416:E416"/>
    <mergeCell ref="D417:E417"/>
    <mergeCell ref="D418:E418"/>
    <mergeCell ref="D419:E419"/>
    <mergeCell ref="D420:E420"/>
    <mergeCell ref="D421:E421"/>
    <mergeCell ref="D422:E422"/>
    <mergeCell ref="D423:E423"/>
    <mergeCell ref="D424:E424"/>
    <mergeCell ref="D425:E425"/>
    <mergeCell ref="D426:E426"/>
    <mergeCell ref="D427:E427"/>
    <mergeCell ref="D394:E394"/>
    <mergeCell ref="D395:E395"/>
    <mergeCell ref="D396:E396"/>
    <mergeCell ref="D397:E397"/>
    <mergeCell ref="D398:E398"/>
    <mergeCell ref="D399:E399"/>
    <mergeCell ref="D400:E400"/>
    <mergeCell ref="D401:E401"/>
    <mergeCell ref="D402:E402"/>
    <mergeCell ref="D403:E403"/>
    <mergeCell ref="D404:E404"/>
    <mergeCell ref="D405:E405"/>
    <mergeCell ref="D406:E406"/>
    <mergeCell ref="D407:E407"/>
    <mergeCell ref="D408:E408"/>
    <mergeCell ref="D409:E409"/>
    <mergeCell ref="D410:E410"/>
    <mergeCell ref="D377:E377"/>
    <mergeCell ref="D378:E378"/>
    <mergeCell ref="D379:E379"/>
    <mergeCell ref="D380:E380"/>
    <mergeCell ref="D381:E381"/>
    <mergeCell ref="D382:E382"/>
    <mergeCell ref="D383:E383"/>
    <mergeCell ref="D384:E384"/>
    <mergeCell ref="D385:E385"/>
    <mergeCell ref="D386:E386"/>
    <mergeCell ref="D387:E387"/>
    <mergeCell ref="D388:E388"/>
    <mergeCell ref="D389:E389"/>
    <mergeCell ref="D390:E390"/>
    <mergeCell ref="D391:E391"/>
    <mergeCell ref="D392:E392"/>
    <mergeCell ref="D393:E393"/>
    <mergeCell ref="D360:E360"/>
    <mergeCell ref="D361:E361"/>
    <mergeCell ref="D362:E362"/>
    <mergeCell ref="D363:E363"/>
    <mergeCell ref="D364:E364"/>
    <mergeCell ref="D365:E365"/>
    <mergeCell ref="D366:E366"/>
    <mergeCell ref="D367:E367"/>
    <mergeCell ref="D368:E368"/>
    <mergeCell ref="D369:E369"/>
    <mergeCell ref="D370:E370"/>
    <mergeCell ref="D371:E371"/>
    <mergeCell ref="D372:E372"/>
    <mergeCell ref="D373:E373"/>
    <mergeCell ref="D374:E374"/>
    <mergeCell ref="D375:E375"/>
    <mergeCell ref="D376:E376"/>
    <mergeCell ref="D343:E343"/>
    <mergeCell ref="D344:E344"/>
    <mergeCell ref="D345:E345"/>
    <mergeCell ref="D346:E346"/>
    <mergeCell ref="D347:E347"/>
    <mergeCell ref="D348:E348"/>
    <mergeCell ref="D349:E349"/>
    <mergeCell ref="D350:E350"/>
    <mergeCell ref="D351:E351"/>
    <mergeCell ref="D352:E352"/>
    <mergeCell ref="D353:E353"/>
    <mergeCell ref="D354:E354"/>
    <mergeCell ref="D355:E355"/>
    <mergeCell ref="D356:E356"/>
    <mergeCell ref="D357:E357"/>
    <mergeCell ref="D358:E358"/>
    <mergeCell ref="D359:E359"/>
    <mergeCell ref="D326:E326"/>
    <mergeCell ref="D327:E327"/>
    <mergeCell ref="D328:E328"/>
    <mergeCell ref="D329:E329"/>
    <mergeCell ref="D330:E330"/>
    <mergeCell ref="D331:E331"/>
    <mergeCell ref="D332:E332"/>
    <mergeCell ref="D333:E333"/>
    <mergeCell ref="D334:E334"/>
    <mergeCell ref="D335:E335"/>
    <mergeCell ref="D336:E336"/>
    <mergeCell ref="D337:E337"/>
    <mergeCell ref="D338:E338"/>
    <mergeCell ref="D339:E339"/>
    <mergeCell ref="D340:E340"/>
    <mergeCell ref="D341:E341"/>
    <mergeCell ref="D342:E342"/>
    <mergeCell ref="D309:E309"/>
    <mergeCell ref="D310:E310"/>
    <mergeCell ref="D311:E311"/>
    <mergeCell ref="D312:E312"/>
    <mergeCell ref="D313:E313"/>
    <mergeCell ref="D314:E314"/>
    <mergeCell ref="D315:E315"/>
    <mergeCell ref="D316:E316"/>
    <mergeCell ref="D317:E317"/>
    <mergeCell ref="D318:E318"/>
    <mergeCell ref="D319:E319"/>
    <mergeCell ref="D320:E320"/>
    <mergeCell ref="D321:E321"/>
    <mergeCell ref="D322:E322"/>
    <mergeCell ref="D323:E323"/>
    <mergeCell ref="D324:E324"/>
    <mergeCell ref="D325:E325"/>
    <mergeCell ref="D292:E292"/>
    <mergeCell ref="D293:E293"/>
    <mergeCell ref="D294:E294"/>
    <mergeCell ref="D295:E295"/>
    <mergeCell ref="D296:E296"/>
    <mergeCell ref="D297:E297"/>
    <mergeCell ref="D298:E298"/>
    <mergeCell ref="D299:E299"/>
    <mergeCell ref="D300:E300"/>
    <mergeCell ref="D301:E301"/>
    <mergeCell ref="D302:E302"/>
    <mergeCell ref="D303:E303"/>
    <mergeCell ref="D304:E304"/>
    <mergeCell ref="D305:E305"/>
    <mergeCell ref="D306:E306"/>
    <mergeCell ref="D307:E307"/>
    <mergeCell ref="D308:E308"/>
    <mergeCell ref="D275:E275"/>
    <mergeCell ref="D276:E276"/>
    <mergeCell ref="D277:E277"/>
    <mergeCell ref="D278:E278"/>
    <mergeCell ref="D279:E279"/>
    <mergeCell ref="D280:E280"/>
    <mergeCell ref="D281:E281"/>
    <mergeCell ref="D282:E282"/>
    <mergeCell ref="D283:E283"/>
    <mergeCell ref="D284:E284"/>
    <mergeCell ref="D285:E285"/>
    <mergeCell ref="D286:E286"/>
    <mergeCell ref="D287:E287"/>
    <mergeCell ref="D288:E288"/>
    <mergeCell ref="D289:E289"/>
    <mergeCell ref="D290:E290"/>
    <mergeCell ref="D291:E291"/>
    <mergeCell ref="D258:E258"/>
    <mergeCell ref="D259:E259"/>
    <mergeCell ref="D260:E260"/>
    <mergeCell ref="D261:E261"/>
    <mergeCell ref="D262:E262"/>
    <mergeCell ref="D263:E263"/>
    <mergeCell ref="D264:E264"/>
    <mergeCell ref="D265:E265"/>
    <mergeCell ref="D266:E266"/>
    <mergeCell ref="D267:E267"/>
    <mergeCell ref="D268:E268"/>
    <mergeCell ref="D269:E269"/>
    <mergeCell ref="D270:E270"/>
    <mergeCell ref="D271:E271"/>
    <mergeCell ref="D272:E272"/>
    <mergeCell ref="D273:E273"/>
    <mergeCell ref="D274:E274"/>
    <mergeCell ref="D241:E241"/>
    <mergeCell ref="D242:E242"/>
    <mergeCell ref="D243:E243"/>
    <mergeCell ref="D244:E244"/>
    <mergeCell ref="D245:E245"/>
    <mergeCell ref="D246:E246"/>
    <mergeCell ref="D247:E247"/>
    <mergeCell ref="D248:E248"/>
    <mergeCell ref="D249:E249"/>
    <mergeCell ref="D250:E250"/>
    <mergeCell ref="D251:E251"/>
    <mergeCell ref="D252:E252"/>
    <mergeCell ref="D253:E253"/>
    <mergeCell ref="D254:E254"/>
    <mergeCell ref="D255:E255"/>
    <mergeCell ref="D256:E256"/>
    <mergeCell ref="D257:E257"/>
    <mergeCell ref="D224:E224"/>
    <mergeCell ref="D225:E225"/>
    <mergeCell ref="D226:E226"/>
    <mergeCell ref="D227:E227"/>
    <mergeCell ref="D228:E228"/>
    <mergeCell ref="D229:E229"/>
    <mergeCell ref="D230:E230"/>
    <mergeCell ref="D231:E231"/>
    <mergeCell ref="D232:E232"/>
    <mergeCell ref="D233:E233"/>
    <mergeCell ref="D234:E234"/>
    <mergeCell ref="D235:E235"/>
    <mergeCell ref="D236:E236"/>
    <mergeCell ref="D237:E237"/>
    <mergeCell ref="D238:E238"/>
    <mergeCell ref="D239:E239"/>
    <mergeCell ref="D240:E240"/>
    <mergeCell ref="D207:E207"/>
    <mergeCell ref="D208:E208"/>
    <mergeCell ref="D209:E209"/>
    <mergeCell ref="D210:E210"/>
    <mergeCell ref="D211:E211"/>
    <mergeCell ref="D212:E212"/>
    <mergeCell ref="D213:E213"/>
    <mergeCell ref="D214:E214"/>
    <mergeCell ref="D215:E215"/>
    <mergeCell ref="D216:E216"/>
    <mergeCell ref="D217:E217"/>
    <mergeCell ref="D218:E218"/>
    <mergeCell ref="D219:E219"/>
    <mergeCell ref="D220:E220"/>
    <mergeCell ref="D221:E221"/>
    <mergeCell ref="D222:E222"/>
    <mergeCell ref="D223:E223"/>
    <mergeCell ref="D190:E190"/>
    <mergeCell ref="D191:E191"/>
    <mergeCell ref="D192:E192"/>
    <mergeCell ref="D193:E193"/>
    <mergeCell ref="D194:E194"/>
    <mergeCell ref="D195:E195"/>
    <mergeCell ref="D196:E196"/>
    <mergeCell ref="D197:E197"/>
    <mergeCell ref="D198:E198"/>
    <mergeCell ref="D199:E199"/>
    <mergeCell ref="D200:E200"/>
    <mergeCell ref="D201:E201"/>
    <mergeCell ref="D202:E202"/>
    <mergeCell ref="D203:E203"/>
    <mergeCell ref="D204:E204"/>
    <mergeCell ref="D205:E205"/>
    <mergeCell ref="D206:E206"/>
    <mergeCell ref="D173:E173"/>
    <mergeCell ref="D174:E174"/>
    <mergeCell ref="D175:E175"/>
    <mergeCell ref="D176:E176"/>
    <mergeCell ref="D177:E177"/>
    <mergeCell ref="D178:E178"/>
    <mergeCell ref="D179:E179"/>
    <mergeCell ref="D180:E180"/>
    <mergeCell ref="D181:E181"/>
    <mergeCell ref="D182:E182"/>
    <mergeCell ref="D183:E183"/>
    <mergeCell ref="D184:E184"/>
    <mergeCell ref="D185:E185"/>
    <mergeCell ref="D186:E186"/>
    <mergeCell ref="D187:E187"/>
    <mergeCell ref="D188:E188"/>
    <mergeCell ref="D189:E189"/>
    <mergeCell ref="D156:E156"/>
    <mergeCell ref="D157:E157"/>
    <mergeCell ref="D158:E158"/>
    <mergeCell ref="D159:E159"/>
    <mergeCell ref="D160:E160"/>
    <mergeCell ref="D161:E161"/>
    <mergeCell ref="D162:E162"/>
    <mergeCell ref="D163:E163"/>
    <mergeCell ref="D164:E164"/>
    <mergeCell ref="D165:E165"/>
    <mergeCell ref="D166:E166"/>
    <mergeCell ref="D167:E167"/>
    <mergeCell ref="D168:E168"/>
    <mergeCell ref="D169:E169"/>
    <mergeCell ref="D170:E170"/>
    <mergeCell ref="D171:E171"/>
    <mergeCell ref="D172:E172"/>
    <mergeCell ref="D139:E139"/>
    <mergeCell ref="D140:E140"/>
    <mergeCell ref="D141:E141"/>
    <mergeCell ref="D142:E142"/>
    <mergeCell ref="D143:E143"/>
    <mergeCell ref="D144:E144"/>
    <mergeCell ref="D145:E145"/>
    <mergeCell ref="D146:E146"/>
    <mergeCell ref="D147:E147"/>
    <mergeCell ref="D148:E148"/>
    <mergeCell ref="D149:E149"/>
    <mergeCell ref="D150:E150"/>
    <mergeCell ref="D151:E151"/>
    <mergeCell ref="D152:E152"/>
    <mergeCell ref="D153:E153"/>
    <mergeCell ref="D154:E154"/>
    <mergeCell ref="D155:E155"/>
    <mergeCell ref="D122:E122"/>
    <mergeCell ref="D123:E123"/>
    <mergeCell ref="D124:E124"/>
    <mergeCell ref="D125:E125"/>
    <mergeCell ref="D126:E126"/>
    <mergeCell ref="D127:E127"/>
    <mergeCell ref="D128:E128"/>
    <mergeCell ref="D129:E129"/>
    <mergeCell ref="D130:E130"/>
    <mergeCell ref="D131:E131"/>
    <mergeCell ref="D132:E132"/>
    <mergeCell ref="D133:E133"/>
    <mergeCell ref="D134:E134"/>
    <mergeCell ref="D135:E135"/>
    <mergeCell ref="D136:E136"/>
    <mergeCell ref="D137:E137"/>
    <mergeCell ref="D138:E138"/>
    <mergeCell ref="D105:E105"/>
    <mergeCell ref="D106:E106"/>
    <mergeCell ref="D107:E107"/>
    <mergeCell ref="D108:E108"/>
    <mergeCell ref="D109:E109"/>
    <mergeCell ref="D110:E110"/>
    <mergeCell ref="D111:E111"/>
    <mergeCell ref="D112:E112"/>
    <mergeCell ref="D113:E113"/>
    <mergeCell ref="D114:E114"/>
    <mergeCell ref="D115:E115"/>
    <mergeCell ref="D116:E116"/>
    <mergeCell ref="D117:E117"/>
    <mergeCell ref="D118:E118"/>
    <mergeCell ref="D119:E119"/>
    <mergeCell ref="D120:E120"/>
    <mergeCell ref="D121:E121"/>
    <mergeCell ref="D88:E88"/>
    <mergeCell ref="D89:E89"/>
    <mergeCell ref="D90:E90"/>
    <mergeCell ref="D91:E91"/>
    <mergeCell ref="D92:E92"/>
    <mergeCell ref="D93:E93"/>
    <mergeCell ref="D94:E94"/>
    <mergeCell ref="D95:E95"/>
    <mergeCell ref="D96:E96"/>
    <mergeCell ref="D97:E97"/>
    <mergeCell ref="D98:E98"/>
    <mergeCell ref="D99:E99"/>
    <mergeCell ref="D100:E100"/>
    <mergeCell ref="D101:E101"/>
    <mergeCell ref="D102:E102"/>
    <mergeCell ref="D103:E103"/>
    <mergeCell ref="D104:E104"/>
    <mergeCell ref="D55:E55"/>
    <mergeCell ref="D72:E72"/>
    <mergeCell ref="D73:E73"/>
    <mergeCell ref="D74:E74"/>
    <mergeCell ref="D75:E75"/>
    <mergeCell ref="D76:E76"/>
    <mergeCell ref="D77:E77"/>
    <mergeCell ref="D78:E78"/>
    <mergeCell ref="D79:E79"/>
    <mergeCell ref="D80:E80"/>
    <mergeCell ref="D81:E81"/>
    <mergeCell ref="D82:E82"/>
    <mergeCell ref="D83:E83"/>
    <mergeCell ref="D84:E84"/>
    <mergeCell ref="D85:E85"/>
    <mergeCell ref="D86:E86"/>
    <mergeCell ref="D87:E87"/>
    <mergeCell ref="D66:E66"/>
    <mergeCell ref="D67:E67"/>
    <mergeCell ref="D68:E68"/>
    <mergeCell ref="D69:E69"/>
    <mergeCell ref="D56:E56"/>
    <mergeCell ref="D61:E61"/>
    <mergeCell ref="D62:E62"/>
    <mergeCell ref="D63:E63"/>
    <mergeCell ref="D64:E64"/>
    <mergeCell ref="D65:E65"/>
    <mergeCell ref="D57:E57"/>
    <mergeCell ref="D58:E58"/>
    <mergeCell ref="D59:E59"/>
    <mergeCell ref="D60:E60"/>
    <mergeCell ref="H59:J59"/>
    <mergeCell ref="H58:J58"/>
    <mergeCell ref="H52:J52"/>
    <mergeCell ref="H53:J53"/>
    <mergeCell ref="H54:J54"/>
    <mergeCell ref="H55:J55"/>
    <mergeCell ref="H56:J56"/>
    <mergeCell ref="H57:J57"/>
    <mergeCell ref="F60:G60"/>
    <mergeCell ref="H60:J60"/>
    <mergeCell ref="F58:G58"/>
    <mergeCell ref="F59:G59"/>
    <mergeCell ref="F52:G52"/>
    <mergeCell ref="F53:G53"/>
    <mergeCell ref="F54:G54"/>
    <mergeCell ref="F55:G55"/>
    <mergeCell ref="F56:G56"/>
    <mergeCell ref="F57:G57"/>
    <mergeCell ref="D50:E50"/>
    <mergeCell ref="D51:E51"/>
    <mergeCell ref="F47:G47"/>
    <mergeCell ref="F48:G48"/>
    <mergeCell ref="F49:G49"/>
    <mergeCell ref="F50:G50"/>
    <mergeCell ref="F51:G51"/>
    <mergeCell ref="B24:C24"/>
    <mergeCell ref="B25:C25"/>
    <mergeCell ref="B26:C26"/>
    <mergeCell ref="B27:C27"/>
    <mergeCell ref="B28:C28"/>
    <mergeCell ref="B23:C23"/>
    <mergeCell ref="D24:E24"/>
    <mergeCell ref="D25:E25"/>
    <mergeCell ref="D26:E26"/>
    <mergeCell ref="D27:E27"/>
    <mergeCell ref="D28:E28"/>
    <mergeCell ref="D49:E49"/>
    <mergeCell ref="F30:G30"/>
    <mergeCell ref="F31:G31"/>
    <mergeCell ref="F32:G32"/>
    <mergeCell ref="F33:G33"/>
    <mergeCell ref="F34:G34"/>
    <mergeCell ref="F35:G35"/>
    <mergeCell ref="F36:G36"/>
    <mergeCell ref="F37:G37"/>
    <mergeCell ref="F38:G38"/>
    <mergeCell ref="F39:G39"/>
    <mergeCell ref="F40:G40"/>
    <mergeCell ref="D54:E54"/>
    <mergeCell ref="F45:G45"/>
    <mergeCell ref="F46:G46"/>
    <mergeCell ref="B39:C39"/>
    <mergeCell ref="B40:C40"/>
    <mergeCell ref="B41:C41"/>
    <mergeCell ref="B42:C42"/>
    <mergeCell ref="B43:C43"/>
    <mergeCell ref="B44:C44"/>
    <mergeCell ref="B45:C45"/>
    <mergeCell ref="B46:C46"/>
    <mergeCell ref="D70:E70"/>
    <mergeCell ref="D71:E71"/>
    <mergeCell ref="B29:C29"/>
    <mergeCell ref="B30:C30"/>
    <mergeCell ref="B31:C31"/>
    <mergeCell ref="B32:C32"/>
    <mergeCell ref="B33:C33"/>
    <mergeCell ref="B34:C34"/>
    <mergeCell ref="B35:C35"/>
    <mergeCell ref="B36:C36"/>
    <mergeCell ref="B37:C37"/>
    <mergeCell ref="D30:E30"/>
    <mergeCell ref="D31:E31"/>
    <mergeCell ref="D32:E32"/>
    <mergeCell ref="B47:C47"/>
    <mergeCell ref="B48:C48"/>
    <mergeCell ref="B49:C49"/>
    <mergeCell ref="B50:C50"/>
    <mergeCell ref="B51:C51"/>
    <mergeCell ref="D43:E43"/>
    <mergeCell ref="D44:E44"/>
    <mergeCell ref="B67:C67"/>
    <mergeCell ref="B68:C68"/>
    <mergeCell ref="B69:C69"/>
    <mergeCell ref="B70:C70"/>
    <mergeCell ref="B71:C71"/>
    <mergeCell ref="B72:C72"/>
    <mergeCell ref="B73:C73"/>
    <mergeCell ref="B56:C56"/>
    <mergeCell ref="B57:C57"/>
    <mergeCell ref="B58:C58"/>
    <mergeCell ref="B59:C59"/>
    <mergeCell ref="B60:C60"/>
    <mergeCell ref="B61:C61"/>
    <mergeCell ref="B62:C62"/>
    <mergeCell ref="B63:C63"/>
    <mergeCell ref="B64:C64"/>
    <mergeCell ref="B66:C66"/>
    <mergeCell ref="B92:C92"/>
    <mergeCell ref="B93:C93"/>
    <mergeCell ref="B94:C94"/>
    <mergeCell ref="B95:C95"/>
    <mergeCell ref="B96:C96"/>
    <mergeCell ref="B97:C97"/>
    <mergeCell ref="B98:C98"/>
    <mergeCell ref="B99:C99"/>
    <mergeCell ref="B100:C100"/>
    <mergeCell ref="B52:C52"/>
    <mergeCell ref="B53:C53"/>
    <mergeCell ref="B54:C54"/>
    <mergeCell ref="B55:C55"/>
    <mergeCell ref="B83:C83"/>
    <mergeCell ref="B84:C84"/>
    <mergeCell ref="B85:C85"/>
    <mergeCell ref="B86:C86"/>
    <mergeCell ref="B87:C87"/>
    <mergeCell ref="B88:C88"/>
    <mergeCell ref="B89:C89"/>
    <mergeCell ref="B90:C90"/>
    <mergeCell ref="B91:C91"/>
    <mergeCell ref="B75:C75"/>
    <mergeCell ref="B76:C76"/>
    <mergeCell ref="B77:C77"/>
    <mergeCell ref="B78:C78"/>
    <mergeCell ref="B79:C79"/>
    <mergeCell ref="B80:C80"/>
    <mergeCell ref="B81:C81"/>
    <mergeCell ref="B82:C82"/>
    <mergeCell ref="B65:C65"/>
    <mergeCell ref="B74:C74"/>
    <mergeCell ref="B110:C110"/>
    <mergeCell ref="B111:C111"/>
    <mergeCell ref="B112:C112"/>
    <mergeCell ref="B113:C113"/>
    <mergeCell ref="B114:C114"/>
    <mergeCell ref="B115:C115"/>
    <mergeCell ref="B116:C116"/>
    <mergeCell ref="B117:C117"/>
    <mergeCell ref="B118:C118"/>
    <mergeCell ref="B101:C101"/>
    <mergeCell ref="B102:C102"/>
    <mergeCell ref="B103:C103"/>
    <mergeCell ref="B104:C104"/>
    <mergeCell ref="B105:C105"/>
    <mergeCell ref="B106:C106"/>
    <mergeCell ref="B107:C107"/>
    <mergeCell ref="B108:C108"/>
    <mergeCell ref="B109:C109"/>
    <mergeCell ref="B128:C128"/>
    <mergeCell ref="B129:C129"/>
    <mergeCell ref="B130:C130"/>
    <mergeCell ref="B131:C131"/>
    <mergeCell ref="B132:C132"/>
    <mergeCell ref="B133:C133"/>
    <mergeCell ref="B134:C134"/>
    <mergeCell ref="B135:C135"/>
    <mergeCell ref="B136:C136"/>
    <mergeCell ref="B119:C119"/>
    <mergeCell ref="B120:C120"/>
    <mergeCell ref="B121:C121"/>
    <mergeCell ref="B122:C122"/>
    <mergeCell ref="B123:C123"/>
    <mergeCell ref="B124:C124"/>
    <mergeCell ref="B125:C125"/>
    <mergeCell ref="B126:C126"/>
    <mergeCell ref="B127:C127"/>
    <mergeCell ref="B146:C146"/>
    <mergeCell ref="B147:C147"/>
    <mergeCell ref="B148:C148"/>
    <mergeCell ref="B149:C149"/>
    <mergeCell ref="B150:C150"/>
    <mergeCell ref="B151:C151"/>
    <mergeCell ref="B152:C152"/>
    <mergeCell ref="B153:C153"/>
    <mergeCell ref="B154:C154"/>
    <mergeCell ref="B137:C137"/>
    <mergeCell ref="B138:C138"/>
    <mergeCell ref="B139:C139"/>
    <mergeCell ref="B140:C140"/>
    <mergeCell ref="B141:C141"/>
    <mergeCell ref="B142:C142"/>
    <mergeCell ref="B143:C143"/>
    <mergeCell ref="B144:C144"/>
    <mergeCell ref="B145:C145"/>
    <mergeCell ref="B164:C164"/>
    <mergeCell ref="B165:C165"/>
    <mergeCell ref="B166:C166"/>
    <mergeCell ref="B167:C167"/>
    <mergeCell ref="B168:C168"/>
    <mergeCell ref="B169:C169"/>
    <mergeCell ref="B170:C170"/>
    <mergeCell ref="B171:C171"/>
    <mergeCell ref="B172:C172"/>
    <mergeCell ref="B155:C155"/>
    <mergeCell ref="B156:C156"/>
    <mergeCell ref="B157:C157"/>
    <mergeCell ref="B158:C158"/>
    <mergeCell ref="B159:C159"/>
    <mergeCell ref="B160:C160"/>
    <mergeCell ref="B161:C161"/>
    <mergeCell ref="B162:C162"/>
    <mergeCell ref="B163:C163"/>
    <mergeCell ref="B182:C182"/>
    <mergeCell ref="B183:C183"/>
    <mergeCell ref="B184:C184"/>
    <mergeCell ref="B185:C185"/>
    <mergeCell ref="B186:C186"/>
    <mergeCell ref="B187:C187"/>
    <mergeCell ref="B188:C188"/>
    <mergeCell ref="B189:C189"/>
    <mergeCell ref="B190:C190"/>
    <mergeCell ref="B173:C173"/>
    <mergeCell ref="B174:C174"/>
    <mergeCell ref="B175:C175"/>
    <mergeCell ref="B176:C176"/>
    <mergeCell ref="B177:C177"/>
    <mergeCell ref="B178:C178"/>
    <mergeCell ref="B179:C179"/>
    <mergeCell ref="B180:C180"/>
    <mergeCell ref="B181:C181"/>
    <mergeCell ref="B200:C200"/>
    <mergeCell ref="B201:C201"/>
    <mergeCell ref="B202:C202"/>
    <mergeCell ref="B203:C203"/>
    <mergeCell ref="B204:C204"/>
    <mergeCell ref="B205:C205"/>
    <mergeCell ref="B206:C206"/>
    <mergeCell ref="B207:C207"/>
    <mergeCell ref="B208:C208"/>
    <mergeCell ref="B191:C191"/>
    <mergeCell ref="B192:C192"/>
    <mergeCell ref="B193:C193"/>
    <mergeCell ref="B194:C194"/>
    <mergeCell ref="B195:C195"/>
    <mergeCell ref="B196:C196"/>
    <mergeCell ref="B197:C197"/>
    <mergeCell ref="B198:C198"/>
    <mergeCell ref="B199:C199"/>
    <mergeCell ref="B218:C218"/>
    <mergeCell ref="B219:C219"/>
    <mergeCell ref="B220:C220"/>
    <mergeCell ref="B221:C221"/>
    <mergeCell ref="B222:C222"/>
    <mergeCell ref="B223:C223"/>
    <mergeCell ref="B224:C224"/>
    <mergeCell ref="B225:C225"/>
    <mergeCell ref="B226:C226"/>
    <mergeCell ref="B209:C209"/>
    <mergeCell ref="B210:C210"/>
    <mergeCell ref="B211:C211"/>
    <mergeCell ref="B212:C212"/>
    <mergeCell ref="B213:C213"/>
    <mergeCell ref="B214:C214"/>
    <mergeCell ref="B215:C215"/>
    <mergeCell ref="B216:C216"/>
    <mergeCell ref="B217:C217"/>
    <mergeCell ref="B236:C236"/>
    <mergeCell ref="B237:C237"/>
    <mergeCell ref="B238:C238"/>
    <mergeCell ref="B239:C239"/>
    <mergeCell ref="B240:C240"/>
    <mergeCell ref="B241:C241"/>
    <mergeCell ref="B242:C242"/>
    <mergeCell ref="B243:C243"/>
    <mergeCell ref="B244:C244"/>
    <mergeCell ref="B227:C227"/>
    <mergeCell ref="B228:C228"/>
    <mergeCell ref="B229:C229"/>
    <mergeCell ref="B230:C230"/>
    <mergeCell ref="B231:C231"/>
    <mergeCell ref="B232:C232"/>
    <mergeCell ref="B233:C233"/>
    <mergeCell ref="B234:C234"/>
    <mergeCell ref="B235:C235"/>
    <mergeCell ref="B254:C254"/>
    <mergeCell ref="B255:C255"/>
    <mergeCell ref="B256:C256"/>
    <mergeCell ref="B257:C257"/>
    <mergeCell ref="B258:C258"/>
    <mergeCell ref="B259:C259"/>
    <mergeCell ref="B260:C260"/>
    <mergeCell ref="B261:C261"/>
    <mergeCell ref="B262:C262"/>
    <mergeCell ref="B245:C245"/>
    <mergeCell ref="B246:C246"/>
    <mergeCell ref="B247:C247"/>
    <mergeCell ref="B248:C248"/>
    <mergeCell ref="B249:C249"/>
    <mergeCell ref="B250:C250"/>
    <mergeCell ref="B251:C251"/>
    <mergeCell ref="B252:C252"/>
    <mergeCell ref="B253:C253"/>
    <mergeCell ref="B272:C272"/>
    <mergeCell ref="B273:C273"/>
    <mergeCell ref="B274:C274"/>
    <mergeCell ref="B275:C275"/>
    <mergeCell ref="B276:C276"/>
    <mergeCell ref="B277:C277"/>
    <mergeCell ref="B278:C278"/>
    <mergeCell ref="B279:C279"/>
    <mergeCell ref="B280:C280"/>
    <mergeCell ref="B263:C263"/>
    <mergeCell ref="B264:C264"/>
    <mergeCell ref="B265:C265"/>
    <mergeCell ref="B266:C266"/>
    <mergeCell ref="B267:C267"/>
    <mergeCell ref="B268:C268"/>
    <mergeCell ref="B269:C269"/>
    <mergeCell ref="B270:C270"/>
    <mergeCell ref="B271:C271"/>
    <mergeCell ref="B290:C290"/>
    <mergeCell ref="B291:C291"/>
    <mergeCell ref="B292:C292"/>
    <mergeCell ref="B293:C293"/>
    <mergeCell ref="B294:C294"/>
    <mergeCell ref="B295:C295"/>
    <mergeCell ref="B296:C296"/>
    <mergeCell ref="B297:C297"/>
    <mergeCell ref="B298:C298"/>
    <mergeCell ref="B281:C281"/>
    <mergeCell ref="B282:C282"/>
    <mergeCell ref="B283:C283"/>
    <mergeCell ref="B284:C284"/>
    <mergeCell ref="B285:C285"/>
    <mergeCell ref="B286:C286"/>
    <mergeCell ref="B287:C287"/>
    <mergeCell ref="B288:C288"/>
    <mergeCell ref="B289:C289"/>
    <mergeCell ref="B308:C308"/>
    <mergeCell ref="B309:C309"/>
    <mergeCell ref="B310:C310"/>
    <mergeCell ref="B311:C311"/>
    <mergeCell ref="B312:C312"/>
    <mergeCell ref="B313:C313"/>
    <mergeCell ref="B314:C314"/>
    <mergeCell ref="B315:C315"/>
    <mergeCell ref="B316:C316"/>
    <mergeCell ref="B299:C299"/>
    <mergeCell ref="B300:C300"/>
    <mergeCell ref="B301:C301"/>
    <mergeCell ref="B302:C302"/>
    <mergeCell ref="B303:C303"/>
    <mergeCell ref="B304:C304"/>
    <mergeCell ref="B305:C305"/>
    <mergeCell ref="B306:C306"/>
    <mergeCell ref="B307:C307"/>
    <mergeCell ref="B326:C326"/>
    <mergeCell ref="B327:C327"/>
    <mergeCell ref="B328:C328"/>
    <mergeCell ref="B329:C329"/>
    <mergeCell ref="B330:C330"/>
    <mergeCell ref="B331:C331"/>
    <mergeCell ref="B332:C332"/>
    <mergeCell ref="B333:C333"/>
    <mergeCell ref="B334:C334"/>
    <mergeCell ref="B317:C317"/>
    <mergeCell ref="B318:C318"/>
    <mergeCell ref="B319:C319"/>
    <mergeCell ref="B320:C320"/>
    <mergeCell ref="B321:C321"/>
    <mergeCell ref="B322:C322"/>
    <mergeCell ref="B323:C323"/>
    <mergeCell ref="B324:C324"/>
    <mergeCell ref="B325:C325"/>
    <mergeCell ref="B344:C344"/>
    <mergeCell ref="B345:C345"/>
    <mergeCell ref="B346:C346"/>
    <mergeCell ref="B347:C347"/>
    <mergeCell ref="B348:C348"/>
    <mergeCell ref="B349:C349"/>
    <mergeCell ref="B350:C350"/>
    <mergeCell ref="B351:C351"/>
    <mergeCell ref="B352:C352"/>
    <mergeCell ref="B335:C335"/>
    <mergeCell ref="B336:C336"/>
    <mergeCell ref="B337:C337"/>
    <mergeCell ref="B338:C338"/>
    <mergeCell ref="B339:C339"/>
    <mergeCell ref="B340:C340"/>
    <mergeCell ref="B341:C341"/>
    <mergeCell ref="B342:C342"/>
    <mergeCell ref="B343:C343"/>
    <mergeCell ref="B362:C362"/>
    <mergeCell ref="B363:C363"/>
    <mergeCell ref="B364:C364"/>
    <mergeCell ref="B365:C365"/>
    <mergeCell ref="B366:C366"/>
    <mergeCell ref="B367:C367"/>
    <mergeCell ref="B368:C368"/>
    <mergeCell ref="B369:C369"/>
    <mergeCell ref="B370:C370"/>
    <mergeCell ref="B353:C353"/>
    <mergeCell ref="B354:C354"/>
    <mergeCell ref="B355:C355"/>
    <mergeCell ref="B356:C356"/>
    <mergeCell ref="B357:C357"/>
    <mergeCell ref="B358:C358"/>
    <mergeCell ref="B359:C359"/>
    <mergeCell ref="B360:C360"/>
    <mergeCell ref="B361:C361"/>
    <mergeCell ref="B380:C380"/>
    <mergeCell ref="B381:C381"/>
    <mergeCell ref="B382:C382"/>
    <mergeCell ref="B383:C383"/>
    <mergeCell ref="B384:C384"/>
    <mergeCell ref="B385:C385"/>
    <mergeCell ref="B386:C386"/>
    <mergeCell ref="B387:C387"/>
    <mergeCell ref="B388:C388"/>
    <mergeCell ref="B371:C371"/>
    <mergeCell ref="B372:C372"/>
    <mergeCell ref="B373:C373"/>
    <mergeCell ref="B374:C374"/>
    <mergeCell ref="B375:C375"/>
    <mergeCell ref="B376:C376"/>
    <mergeCell ref="B377:C377"/>
    <mergeCell ref="B378:C378"/>
    <mergeCell ref="B379:C379"/>
    <mergeCell ref="B398:C398"/>
    <mergeCell ref="B399:C399"/>
    <mergeCell ref="B400:C400"/>
    <mergeCell ref="B401:C401"/>
    <mergeCell ref="B402:C402"/>
    <mergeCell ref="B403:C403"/>
    <mergeCell ref="B404:C404"/>
    <mergeCell ref="B405:C405"/>
    <mergeCell ref="B406:C406"/>
    <mergeCell ref="B389:C389"/>
    <mergeCell ref="B390:C390"/>
    <mergeCell ref="B391:C391"/>
    <mergeCell ref="B392:C392"/>
    <mergeCell ref="B393:C393"/>
    <mergeCell ref="B394:C394"/>
    <mergeCell ref="B395:C395"/>
    <mergeCell ref="B396:C396"/>
    <mergeCell ref="B397:C397"/>
    <mergeCell ref="B416:C416"/>
    <mergeCell ref="B417:C417"/>
    <mergeCell ref="B418:C418"/>
    <mergeCell ref="B419:C419"/>
    <mergeCell ref="B420:C420"/>
    <mergeCell ref="B421:C421"/>
    <mergeCell ref="B422:C422"/>
    <mergeCell ref="B423:C423"/>
    <mergeCell ref="B424:C424"/>
    <mergeCell ref="B407:C407"/>
    <mergeCell ref="B408:C408"/>
    <mergeCell ref="B409:C409"/>
    <mergeCell ref="B410:C410"/>
    <mergeCell ref="B411:C411"/>
    <mergeCell ref="B412:C412"/>
    <mergeCell ref="B413:C413"/>
    <mergeCell ref="B414:C414"/>
    <mergeCell ref="B415:C415"/>
    <mergeCell ref="B461:C461"/>
    <mergeCell ref="B462:C462"/>
    <mergeCell ref="B463:C463"/>
    <mergeCell ref="B464:C464"/>
    <mergeCell ref="B465:C465"/>
    <mergeCell ref="B466:C466"/>
    <mergeCell ref="B467:C467"/>
    <mergeCell ref="B434:C434"/>
    <mergeCell ref="B435:C435"/>
    <mergeCell ref="B436:C436"/>
    <mergeCell ref="B437:C437"/>
    <mergeCell ref="B438:C438"/>
    <mergeCell ref="B439:C439"/>
    <mergeCell ref="B440:C440"/>
    <mergeCell ref="B441:C441"/>
    <mergeCell ref="B442:C442"/>
    <mergeCell ref="B425:C425"/>
    <mergeCell ref="B426:C426"/>
    <mergeCell ref="B427:C427"/>
    <mergeCell ref="B428:C428"/>
    <mergeCell ref="B429:C429"/>
    <mergeCell ref="B430:C430"/>
    <mergeCell ref="B431:C431"/>
    <mergeCell ref="B432:C432"/>
    <mergeCell ref="B433:C433"/>
    <mergeCell ref="B452:C452"/>
    <mergeCell ref="B453:C453"/>
    <mergeCell ref="B454:C454"/>
    <mergeCell ref="B455:C455"/>
    <mergeCell ref="B456:C456"/>
    <mergeCell ref="B457:C457"/>
    <mergeCell ref="B458:C458"/>
    <mergeCell ref="B459:C459"/>
    <mergeCell ref="B460:C460"/>
    <mergeCell ref="B443:C443"/>
    <mergeCell ref="B444:C444"/>
    <mergeCell ref="B445:C445"/>
    <mergeCell ref="B446:C446"/>
    <mergeCell ref="B447:C447"/>
    <mergeCell ref="B448:C448"/>
    <mergeCell ref="B449:C449"/>
    <mergeCell ref="B450:C450"/>
    <mergeCell ref="B451:C451"/>
    <mergeCell ref="B523:C523"/>
    <mergeCell ref="B506:C506"/>
    <mergeCell ref="B507:C507"/>
    <mergeCell ref="B508:C508"/>
    <mergeCell ref="B509:C509"/>
    <mergeCell ref="B510:C510"/>
    <mergeCell ref="B511:C511"/>
    <mergeCell ref="B512:C512"/>
    <mergeCell ref="B513:C513"/>
    <mergeCell ref="B514:C514"/>
    <mergeCell ref="B497:C497"/>
    <mergeCell ref="B498:C498"/>
    <mergeCell ref="B499:C499"/>
    <mergeCell ref="B500:C500"/>
    <mergeCell ref="B501:C501"/>
    <mergeCell ref="B502:C502"/>
    <mergeCell ref="B503:C503"/>
    <mergeCell ref="B504:C504"/>
    <mergeCell ref="B505:C505"/>
    <mergeCell ref="B515:C515"/>
    <mergeCell ref="B516:C516"/>
    <mergeCell ref="B519:C519"/>
    <mergeCell ref="B520:C520"/>
    <mergeCell ref="B521:C521"/>
    <mergeCell ref="B522:C522"/>
    <mergeCell ref="L9:M9"/>
    <mergeCell ref="B488:C488"/>
    <mergeCell ref="B489:C489"/>
    <mergeCell ref="B490:C490"/>
    <mergeCell ref="B491:C491"/>
    <mergeCell ref="B492:C492"/>
    <mergeCell ref="B493:C493"/>
    <mergeCell ref="B494:C494"/>
    <mergeCell ref="B495:C495"/>
    <mergeCell ref="B496:C496"/>
    <mergeCell ref="B517:C517"/>
    <mergeCell ref="B518:C518"/>
    <mergeCell ref="B470:C470"/>
    <mergeCell ref="B471:C471"/>
    <mergeCell ref="B472:C472"/>
    <mergeCell ref="B473:C473"/>
    <mergeCell ref="B474:C474"/>
    <mergeCell ref="B475:C475"/>
    <mergeCell ref="B476:C476"/>
    <mergeCell ref="B477:C477"/>
    <mergeCell ref="B479:C479"/>
    <mergeCell ref="B480:C480"/>
    <mergeCell ref="B481:C481"/>
    <mergeCell ref="B482:C482"/>
    <mergeCell ref="B483:C483"/>
    <mergeCell ref="B484:C484"/>
    <mergeCell ref="B485:C485"/>
    <mergeCell ref="B486:C486"/>
    <mergeCell ref="B487:C487"/>
    <mergeCell ref="B478:C478"/>
    <mergeCell ref="B468:C468"/>
    <mergeCell ref="B469:C469"/>
    <mergeCell ref="L12:M13"/>
    <mergeCell ref="J4:AC4"/>
    <mergeCell ref="H524:J524"/>
    <mergeCell ref="F523:G523"/>
    <mergeCell ref="H522:J522"/>
    <mergeCell ref="H523:J523"/>
    <mergeCell ref="H490:J490"/>
    <mergeCell ref="H491:J491"/>
    <mergeCell ref="H492:J492"/>
    <mergeCell ref="H493:J493"/>
    <mergeCell ref="H494:J494"/>
    <mergeCell ref="H495:J495"/>
    <mergeCell ref="E5:F5"/>
    <mergeCell ref="Z9:AA9"/>
    <mergeCell ref="D35:E35"/>
    <mergeCell ref="D36:E36"/>
    <mergeCell ref="D37:E37"/>
    <mergeCell ref="D38:E38"/>
    <mergeCell ref="D39:E39"/>
    <mergeCell ref="D40:E40"/>
    <mergeCell ref="D41:E41"/>
    <mergeCell ref="D42:E42"/>
    <mergeCell ref="J10:K10"/>
    <mergeCell ref="Z10:AA10"/>
    <mergeCell ref="J18:K18"/>
    <mergeCell ref="J20:K20"/>
    <mergeCell ref="Z18:AA18"/>
    <mergeCell ref="Z20:AA20"/>
    <mergeCell ref="AL12:AM13"/>
    <mergeCell ref="AL5:AM5"/>
    <mergeCell ref="AL6:AM6"/>
    <mergeCell ref="AL7:AM7"/>
    <mergeCell ref="AL8:AM8"/>
    <mergeCell ref="AL9:AM9"/>
    <mergeCell ref="AL15:AM15"/>
    <mergeCell ref="AL20:AM20"/>
    <mergeCell ref="AL18:AM18"/>
    <mergeCell ref="AL11:AM11"/>
    <mergeCell ref="AK12:AK13"/>
    <mergeCell ref="AB7:AC7"/>
    <mergeCell ref="AB8:AC8"/>
    <mergeCell ref="AB6:AC6"/>
    <mergeCell ref="L18:M18"/>
    <mergeCell ref="AB20:AC20"/>
    <mergeCell ref="J9:K9"/>
    <mergeCell ref="AH5:AI5"/>
    <mergeCell ref="AH6:AI6"/>
    <mergeCell ref="AH7:AI7"/>
    <mergeCell ref="AH8:AI8"/>
    <mergeCell ref="AH9:AI9"/>
    <mergeCell ref="AH11:AI11"/>
    <mergeCell ref="AH15:AI15"/>
    <mergeCell ref="AH20:AI20"/>
    <mergeCell ref="AH18:AI18"/>
    <mergeCell ref="AG12:AG13"/>
    <mergeCell ref="Z11:AA11"/>
    <mergeCell ref="J11:K11"/>
    <mergeCell ref="J7:K7"/>
    <mergeCell ref="J6:K6"/>
    <mergeCell ref="AB15:AC15"/>
    <mergeCell ref="L7:M7"/>
    <mergeCell ref="AB11:AC11"/>
    <mergeCell ref="D47:E47"/>
    <mergeCell ref="D48:E48"/>
    <mergeCell ref="B2:G2"/>
    <mergeCell ref="AB12:AC13"/>
    <mergeCell ref="AH12:AI13"/>
    <mergeCell ref="H41:J41"/>
    <mergeCell ref="H42:J42"/>
    <mergeCell ref="H43:J43"/>
    <mergeCell ref="H23:J23"/>
    <mergeCell ref="H44:J44"/>
    <mergeCell ref="H45:J45"/>
    <mergeCell ref="H46:J46"/>
    <mergeCell ref="J8:K8"/>
    <mergeCell ref="L8:M8"/>
    <mergeCell ref="J5:K5"/>
    <mergeCell ref="L5:M5"/>
    <mergeCell ref="D46:E46"/>
    <mergeCell ref="D33:E33"/>
    <mergeCell ref="D34:E34"/>
    <mergeCell ref="B38:C38"/>
    <mergeCell ref="D29:E29"/>
    <mergeCell ref="D45:E45"/>
    <mergeCell ref="D23:E23"/>
    <mergeCell ref="F23:G23"/>
    <mergeCell ref="C4:F4"/>
    <mergeCell ref="Z5:AA5"/>
    <mergeCell ref="Z6:AA6"/>
    <mergeCell ref="Z7:AA7"/>
    <mergeCell ref="Z8:AA8"/>
    <mergeCell ref="AB5:AC5"/>
    <mergeCell ref="D52:E52"/>
    <mergeCell ref="D53:E53"/>
    <mergeCell ref="AB2:AD2"/>
    <mergeCell ref="I2:AA2"/>
    <mergeCell ref="H86:J86"/>
    <mergeCell ref="H87:J87"/>
    <mergeCell ref="H88:J88"/>
    <mergeCell ref="H89:J89"/>
    <mergeCell ref="F26:G26"/>
    <mergeCell ref="F27:G27"/>
    <mergeCell ref="F28:G28"/>
    <mergeCell ref="F29:G29"/>
    <mergeCell ref="F524:G524"/>
    <mergeCell ref="H436:J436"/>
    <mergeCell ref="H437:J437"/>
    <mergeCell ref="H47:J47"/>
    <mergeCell ref="H62:J62"/>
    <mergeCell ref="H63:J63"/>
    <mergeCell ref="H64:J64"/>
    <mergeCell ref="H65:J65"/>
    <mergeCell ref="H66:J66"/>
    <mergeCell ref="H67:J67"/>
    <mergeCell ref="H68:J68"/>
    <mergeCell ref="H69:J69"/>
    <mergeCell ref="H70:J70"/>
    <mergeCell ref="H71:J71"/>
    <mergeCell ref="H72:J72"/>
    <mergeCell ref="H73:J73"/>
    <mergeCell ref="H74:J74"/>
    <mergeCell ref="H75:J75"/>
    <mergeCell ref="H76:J76"/>
    <mergeCell ref="H77:J77"/>
  </mergeCells>
  <conditionalFormatting sqref="L24:L523">
    <cfRule type="containsText" dxfId="52" priority="40" stopIfTrue="1" operator="containsText" text="WIN">
      <formula>NOT(ISERROR(SEARCH("WIN",L24)))</formula>
    </cfRule>
    <cfRule type="containsText" dxfId="51" priority="41" stopIfTrue="1" operator="containsText" text="LOSS">
      <formula>NOT(ISERROR(SEARCH("LOSS",L24)))</formula>
    </cfRule>
  </conditionalFormatting>
  <conditionalFormatting sqref="L18">
    <cfRule type="cellIs" dxfId="50" priority="32" operator="lessThan">
      <formula>$F$6</formula>
    </cfRule>
    <cfRule type="cellIs" dxfId="49" priority="33" operator="greaterThan">
      <formula>$F$6</formula>
    </cfRule>
  </conditionalFormatting>
  <conditionalFormatting sqref="L20">
    <cfRule type="cellIs" dxfId="48" priority="25" operator="lessThan">
      <formula>0</formula>
    </cfRule>
    <cfRule type="cellIs" dxfId="47" priority="26" operator="greaterThanOrEqual">
      <formula>0</formula>
    </cfRule>
  </conditionalFormatting>
  <conditionalFormatting sqref="AB18">
    <cfRule type="cellIs" dxfId="46" priority="23" operator="lessThanOrEqual">
      <formula>0%</formula>
    </cfRule>
    <cfRule type="cellIs" dxfId="45" priority="24" operator="greaterThan">
      <formula>0%</formula>
    </cfRule>
  </conditionalFormatting>
  <conditionalFormatting sqref="AH20">
    <cfRule type="cellIs" dxfId="44" priority="13" operator="lessThan">
      <formula>0</formula>
    </cfRule>
    <cfRule type="cellIs" dxfId="43" priority="14" operator="greaterThanOrEqual">
      <formula>0</formula>
    </cfRule>
  </conditionalFormatting>
  <conditionalFormatting sqref="AH18">
    <cfRule type="cellIs" dxfId="42" priority="19" operator="greaterThan">
      <formula>$F$6</formula>
    </cfRule>
    <cfRule type="cellIs" dxfId="41" priority="20" operator="lessThan">
      <formula>$F$6</formula>
    </cfRule>
  </conditionalFormatting>
  <conditionalFormatting sqref="AL18:AM18">
    <cfRule type="cellIs" dxfId="40" priority="15" operator="lessThanOrEqual">
      <formula>0%</formula>
    </cfRule>
    <cfRule type="cellIs" dxfId="39" priority="16" operator="greaterThan">
      <formula>0%</formula>
    </cfRule>
  </conditionalFormatting>
  <conditionalFormatting sqref="L24:L524">
    <cfRule type="containsText" dxfId="38" priority="8" stopIfTrue="1" operator="containsText" text="WIN">
      <formula>NOT(ISERROR(SEARCH("WIN",L24)))</formula>
    </cfRule>
    <cfRule type="containsText" dxfId="37" priority="9" stopIfTrue="1" operator="containsText" text="LOSS">
      <formula>NOT(ISERROR(SEARCH("LOSS",L24)))</formula>
    </cfRule>
  </conditionalFormatting>
  <conditionalFormatting sqref="H23:J23">
    <cfRule type="expression" dxfId="36" priority="7">
      <formula>COUNTA(F6:F10)=5</formula>
    </cfRule>
  </conditionalFormatting>
  <conditionalFormatting sqref="M24:M27">
    <cfRule type="expression" dxfId="35" priority="3">
      <formula>$M24:$M523&lt;0</formula>
    </cfRule>
  </conditionalFormatting>
  <conditionalFormatting sqref="F24:F27">
    <cfRule type="expression" dxfId="34" priority="2">
      <formula>$F24:$F523&lt;$F$24</formula>
    </cfRule>
  </conditionalFormatting>
  <conditionalFormatting sqref="K24:K26">
    <cfRule type="expression" dxfId="33" priority="1">
      <formula>$L24:$L524="LOSS"</formula>
    </cfRule>
  </conditionalFormatting>
  <conditionalFormatting sqref="M28">
    <cfRule type="expression" dxfId="32" priority="43">
      <formula>$M28:$M526&lt;0</formula>
    </cfRule>
  </conditionalFormatting>
  <conditionalFormatting sqref="F28">
    <cfRule type="expression" dxfId="31" priority="46">
      <formula>$F28:$F526&lt;$F$24</formula>
    </cfRule>
  </conditionalFormatting>
  <conditionalFormatting sqref="K27">
    <cfRule type="expression" dxfId="30" priority="49">
      <formula>$L27:$L526="LOSS"</formula>
    </cfRule>
  </conditionalFormatting>
  <conditionalFormatting sqref="M43">
    <cfRule type="expression" dxfId="29" priority="79">
      <formula>$M43:$M526&lt;0</formula>
    </cfRule>
  </conditionalFormatting>
  <conditionalFormatting sqref="F43">
    <cfRule type="expression" dxfId="28" priority="80">
      <formula>$F43:$F526&lt;$F$24</formula>
    </cfRule>
  </conditionalFormatting>
  <conditionalFormatting sqref="K42">
    <cfRule type="expression" dxfId="27" priority="81">
      <formula>$L42:$L526="LOSS"</formula>
    </cfRule>
  </conditionalFormatting>
  <conditionalFormatting sqref="M46">
    <cfRule type="expression" dxfId="26" priority="82">
      <formula>$M46:$M526&lt;0</formula>
    </cfRule>
  </conditionalFormatting>
  <conditionalFormatting sqref="F46">
    <cfRule type="expression" dxfId="25" priority="83">
      <formula>$F46:$F526&lt;$F$24</formula>
    </cfRule>
  </conditionalFormatting>
  <conditionalFormatting sqref="K45">
    <cfRule type="expression" dxfId="24" priority="84">
      <formula>$L45:$L526="LOSS"</formula>
    </cfRule>
  </conditionalFormatting>
  <conditionalFormatting sqref="M47">
    <cfRule type="expression" dxfId="23" priority="85">
      <formula>$M47:$M526&lt;0</formula>
    </cfRule>
  </conditionalFormatting>
  <conditionalFormatting sqref="M49">
    <cfRule type="expression" dxfId="22" priority="86">
      <formula>$M49:$M526&lt;0</formula>
    </cfRule>
  </conditionalFormatting>
  <conditionalFormatting sqref="F47">
    <cfRule type="expression" dxfId="21" priority="88">
      <formula>$F47:$F526&lt;$F$24</formula>
    </cfRule>
  </conditionalFormatting>
  <conditionalFormatting sqref="F49">
    <cfRule type="expression" dxfId="20" priority="89">
      <formula>$F49:$F526&lt;$F$24</formula>
    </cfRule>
  </conditionalFormatting>
  <conditionalFormatting sqref="K46">
    <cfRule type="expression" dxfId="19" priority="91">
      <formula>$L46:$L526="LOSS"</formula>
    </cfRule>
  </conditionalFormatting>
  <conditionalFormatting sqref="K48">
    <cfRule type="expression" dxfId="18" priority="92">
      <formula>$L48:$L526="LOSS"</formula>
    </cfRule>
  </conditionalFormatting>
  <conditionalFormatting sqref="M29:M42">
    <cfRule type="expression" dxfId="17" priority="95">
      <formula>$M29:$M526&lt;0</formula>
    </cfRule>
  </conditionalFormatting>
  <conditionalFormatting sqref="F29:F42">
    <cfRule type="expression" dxfId="16" priority="97">
      <formula>$F29:$F526&lt;$F$24</formula>
    </cfRule>
  </conditionalFormatting>
  <conditionalFormatting sqref="K28:K41">
    <cfRule type="expression" dxfId="15" priority="99">
      <formula>$L28:$L526="LOSS"</formula>
    </cfRule>
  </conditionalFormatting>
  <conditionalFormatting sqref="M44:M45">
    <cfRule type="expression" dxfId="14" priority="101">
      <formula>$M44:$M526&lt;0</formula>
    </cfRule>
  </conditionalFormatting>
  <conditionalFormatting sqref="F44:F45">
    <cfRule type="expression" dxfId="13" priority="103">
      <formula>$F44:$F526&lt;$F$24</formula>
    </cfRule>
  </conditionalFormatting>
  <conditionalFormatting sqref="K43:K44">
    <cfRule type="expression" dxfId="12" priority="105">
      <formula>$L43:$L526="LOSS"</formula>
    </cfRule>
  </conditionalFormatting>
  <conditionalFormatting sqref="M48">
    <cfRule type="expression" dxfId="11" priority="107">
      <formula>$M48:$M526&lt;0</formula>
    </cfRule>
  </conditionalFormatting>
  <conditionalFormatting sqref="M50:M52">
    <cfRule type="expression" dxfId="10" priority="109">
      <formula>$M50:$M526&lt;0</formula>
    </cfRule>
  </conditionalFormatting>
  <conditionalFormatting sqref="M53:M71">
    <cfRule type="expression" dxfId="9" priority="110">
      <formula>$M53:$M526&lt;0</formula>
    </cfRule>
  </conditionalFormatting>
  <conditionalFormatting sqref="M72:M523">
    <cfRule type="expression" dxfId="8" priority="111">
      <formula>$M72:$M527&lt;0</formula>
    </cfRule>
  </conditionalFormatting>
  <conditionalFormatting sqref="F48">
    <cfRule type="expression" dxfId="7" priority="113">
      <formula>$F48:$F526&lt;$F$24</formula>
    </cfRule>
  </conditionalFormatting>
  <conditionalFormatting sqref="F50:F52">
    <cfRule type="expression" dxfId="6" priority="115">
      <formula>$F50:$F526&lt;$F$24</formula>
    </cfRule>
  </conditionalFormatting>
  <conditionalFormatting sqref="F53:F71">
    <cfRule type="expression" dxfId="5" priority="116">
      <formula>$F53:$F526&lt;$F$24</formula>
    </cfRule>
  </conditionalFormatting>
  <conditionalFormatting sqref="F72:F523">
    <cfRule type="expression" dxfId="4" priority="117">
      <formula>$F72:$F527&lt;$F$24</formula>
    </cfRule>
  </conditionalFormatting>
  <conditionalFormatting sqref="K47">
    <cfRule type="expression" dxfId="3" priority="119">
      <formula>$L47:$L526="LOSS"</formula>
    </cfRule>
  </conditionalFormatting>
  <conditionalFormatting sqref="K49:K51">
    <cfRule type="expression" dxfId="2" priority="121">
      <formula>$L49:$L526="LOSS"</formula>
    </cfRule>
  </conditionalFormatting>
  <conditionalFormatting sqref="K52:K70">
    <cfRule type="expression" dxfId="1" priority="122">
      <formula>$L52:$L526="LOSS"</formula>
    </cfRule>
  </conditionalFormatting>
  <conditionalFormatting sqref="K71:K523">
    <cfRule type="expression" dxfId="0" priority="123">
      <formula>$L71:$L527="LOSS"</formula>
    </cfRule>
  </conditionalFormatting>
  <hyperlinks>
    <hyperlink ref="AF2" r:id="rId1"/>
    <hyperlink ref="AH134:AK134" r:id="rId2" display="traderdowboy@gmail.com"/>
    <hyperlink ref="AB2" r:id="rId3" display="DAYTRADINGLIFE.com"/>
  </hyperlinks>
  <pageMargins left="0.70866141732283472" right="0.70866141732283472" top="0.74803149606299213" bottom="0.74803149606299213" header="0.31496062992125984" footer="0.31496062992125984"/>
  <pageSetup paperSize="9" orientation="portrait" errors="blank" horizontalDpi="4294967293" r:id="rId4"/>
  <drawing r:id="rId5"/>
  <legacyDrawing r:id="rId6"/>
  <mc:AlternateContent xmlns:mc="http://schemas.openxmlformats.org/markup-compatibility/2006">
    <mc:Choice Requires="x14">
      <controls>
        <mc:AlternateContent xmlns:mc="http://schemas.openxmlformats.org/markup-compatibility/2006">
          <mc:Choice Requires="x14">
            <control shapeId="1029" r:id="rId7" name="Button 5">
              <controlPr defaultSize="0" print="0" autoFill="0" autoPict="0" macro="[0]!Clear_Details_Data">
                <anchor moveWithCells="1" sizeWithCells="1">
                  <from>
                    <xdr:col>2</xdr:col>
                    <xdr:colOff>0</xdr:colOff>
                    <xdr:row>10</xdr:row>
                    <xdr:rowOff>19050</xdr:rowOff>
                  </from>
                  <to>
                    <xdr:col>5</xdr:col>
                    <xdr:colOff>962025</xdr:colOff>
                    <xdr:row>11</xdr:row>
                    <xdr:rowOff>0</xdr:rowOff>
                  </to>
                </anchor>
              </controlPr>
            </control>
          </mc:Choice>
        </mc:AlternateContent>
        <mc:AlternateContent xmlns:mc="http://schemas.openxmlformats.org/markup-compatibility/2006">
          <mc:Choice Requires="x14">
            <control shapeId="1030" r:id="rId8" name="Button 6">
              <controlPr defaultSize="0" print="0" autoFill="0" autoPict="0" macro="[0]!MyCalc">
                <anchor moveWithCells="1" sizeWithCells="1">
                  <from>
                    <xdr:col>4</xdr:col>
                    <xdr:colOff>9525</xdr:colOff>
                    <xdr:row>4</xdr:row>
                    <xdr:rowOff>19050</xdr:rowOff>
                  </from>
                  <to>
                    <xdr:col>5</xdr:col>
                    <xdr:colOff>971550</xdr:colOff>
                    <xdr:row>4</xdr:row>
                    <xdr:rowOff>219075</xdr:rowOff>
                  </to>
                </anchor>
              </controlPr>
            </control>
          </mc:Choice>
        </mc:AlternateContent>
        <mc:AlternateContent xmlns:mc="http://schemas.openxmlformats.org/markup-compatibility/2006">
          <mc:Choice Requires="x14">
            <control shapeId="1034" r:id="rId9" name="Button 10">
              <controlPr defaultSize="0" print="0" autoFill="0" autoPict="0" macro="[0]!Instructions.Instructions">
                <anchor moveWithCells="1" sizeWithCells="1">
                  <from>
                    <xdr:col>2</xdr:col>
                    <xdr:colOff>9525</xdr:colOff>
                    <xdr:row>4</xdr:row>
                    <xdr:rowOff>9525</xdr:rowOff>
                  </from>
                  <to>
                    <xdr:col>3</xdr:col>
                    <xdr:colOff>495300</xdr:colOff>
                    <xdr:row>4</xdr:row>
                    <xdr:rowOff>209550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D5AC3A"/>
  </sheetPr>
  <dimension ref="A1:AZ200"/>
  <sheetViews>
    <sheetView showRowColHeaders="0" zoomScale="80" zoomScaleNormal="80" workbookViewId="0">
      <pane ySplit="44" topLeftCell="A45" activePane="bottomLeft" state="frozen"/>
      <selection pane="bottomLeft" activeCell="A201" sqref="A201:XFD1048576"/>
    </sheetView>
  </sheetViews>
  <sheetFormatPr defaultColWidth="0" defaultRowHeight="15" zeroHeight="1"/>
  <cols>
    <col min="1" max="1" width="2.7109375" style="207" customWidth="1"/>
    <col min="2" max="3" width="1.7109375" style="207" customWidth="1"/>
    <col min="4" max="15" width="9.140625" style="207" customWidth="1"/>
    <col min="16" max="16" width="12.7109375" style="207" customWidth="1"/>
    <col min="17" max="17" width="4.7109375" style="207" customWidth="1"/>
    <col min="18" max="18" width="1.7109375" style="207" customWidth="1"/>
    <col min="19" max="19" width="3.7109375" style="207" customWidth="1"/>
    <col min="20" max="27" width="9.140625" style="207" customWidth="1"/>
    <col min="28" max="28" width="3.7109375" style="207" customWidth="1"/>
    <col min="29" max="29" width="1.7109375" style="207" customWidth="1"/>
    <col min="30" max="52" width="9.140625" style="207" customWidth="1"/>
    <col min="53" max="16384" width="9.140625" style="207" hidden="1"/>
  </cols>
  <sheetData>
    <row r="1" spans="1:33">
      <c r="A1" s="204"/>
      <c r="B1" s="205"/>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6"/>
      <c r="AE1" s="206"/>
      <c r="AF1" s="206"/>
      <c r="AG1" s="206"/>
    </row>
    <row r="2" spans="1:33" ht="21">
      <c r="A2" s="208"/>
      <c r="B2" s="209"/>
      <c r="C2" s="209"/>
      <c r="D2" s="509" t="s">
        <v>4</v>
      </c>
      <c r="E2" s="509"/>
      <c r="F2" s="509"/>
      <c r="G2" s="509"/>
      <c r="H2" s="509"/>
      <c r="I2" s="509"/>
      <c r="J2" s="509"/>
      <c r="K2" s="509"/>
      <c r="L2" s="209"/>
      <c r="M2" s="509" t="s">
        <v>598</v>
      </c>
      <c r="N2" s="509"/>
      <c r="O2" s="509"/>
      <c r="P2" s="509"/>
      <c r="Q2" s="209"/>
      <c r="R2" s="209"/>
      <c r="S2" s="509" t="s">
        <v>610</v>
      </c>
      <c r="T2" s="509"/>
      <c r="U2" s="509"/>
      <c r="V2" s="509"/>
      <c r="W2" s="509"/>
      <c r="X2" s="509"/>
      <c r="Y2" s="509" t="s">
        <v>63</v>
      </c>
      <c r="Z2" s="509"/>
      <c r="AA2" s="509"/>
      <c r="AB2" s="509"/>
      <c r="AC2" s="509"/>
      <c r="AD2" s="208"/>
      <c r="AE2" s="208"/>
      <c r="AF2" s="208"/>
      <c r="AG2" s="208"/>
    </row>
    <row r="3" spans="1:33">
      <c r="A3" s="204"/>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6"/>
      <c r="AE3" s="206"/>
      <c r="AF3" s="206"/>
      <c r="AG3" s="206"/>
    </row>
    <row r="4" spans="1:33" ht="15.75" customHeight="1">
      <c r="A4" s="210"/>
      <c r="B4" s="210"/>
      <c r="C4" s="210"/>
      <c r="D4" s="211"/>
      <c r="E4" s="128"/>
      <c r="F4" s="128"/>
      <c r="G4" s="128"/>
      <c r="H4" s="128"/>
      <c r="I4" s="128"/>
      <c r="J4" s="128"/>
      <c r="K4" s="210"/>
      <c r="L4" s="210"/>
      <c r="Q4" s="210"/>
      <c r="R4" s="212"/>
      <c r="S4" s="212"/>
      <c r="T4" s="212"/>
      <c r="U4" s="212"/>
      <c r="V4" s="212"/>
      <c r="W4" s="212"/>
      <c r="X4" s="212"/>
      <c r="Y4" s="212"/>
      <c r="Z4" s="212"/>
      <c r="AA4" s="212"/>
    </row>
    <row r="5" spans="1:33" ht="15" customHeight="1">
      <c r="A5" s="210"/>
      <c r="B5" s="487"/>
      <c r="C5" s="516"/>
      <c r="D5" s="213" t="s">
        <v>580</v>
      </c>
      <c r="E5" s="195"/>
      <c r="F5" s="195"/>
      <c r="G5" s="195"/>
      <c r="H5" s="195"/>
      <c r="I5" s="195"/>
      <c r="J5" s="195"/>
      <c r="K5" s="212"/>
      <c r="L5" s="212"/>
      <c r="M5" s="488" t="s">
        <v>601</v>
      </c>
      <c r="N5" s="489"/>
      <c r="O5" s="489"/>
      <c r="P5" s="490"/>
      <c r="Q5" s="212"/>
      <c r="R5" s="487"/>
      <c r="S5" s="195"/>
      <c r="T5" s="198"/>
      <c r="U5" s="214"/>
      <c r="V5" s="214"/>
      <c r="W5" s="214"/>
      <c r="X5" s="214"/>
      <c r="Y5" s="214"/>
      <c r="Z5" s="214"/>
      <c r="AA5" s="214"/>
      <c r="AB5" s="87"/>
      <c r="AC5" s="487"/>
      <c r="AD5" s="87"/>
      <c r="AE5" s="87"/>
      <c r="AF5" s="87"/>
      <c r="AG5" s="87"/>
    </row>
    <row r="6" spans="1:33" ht="15" customHeight="1">
      <c r="A6" s="210"/>
      <c r="B6" s="487"/>
      <c r="C6" s="516"/>
      <c r="D6" s="215" t="s">
        <v>571</v>
      </c>
      <c r="E6" s="195"/>
      <c r="F6" s="195"/>
      <c r="G6" s="195"/>
      <c r="H6" s="195"/>
      <c r="I6" s="195"/>
      <c r="J6" s="195"/>
      <c r="K6" s="212"/>
      <c r="L6" s="212"/>
      <c r="M6" s="491"/>
      <c r="N6" s="492"/>
      <c r="O6" s="492"/>
      <c r="P6" s="493"/>
      <c r="Q6" s="212"/>
      <c r="R6" s="487"/>
      <c r="S6" s="195"/>
      <c r="T6" s="214"/>
      <c r="U6" s="214"/>
      <c r="V6" s="214"/>
      <c r="W6" s="214"/>
      <c r="X6" s="214"/>
      <c r="Y6" s="214"/>
      <c r="Z6" s="214"/>
      <c r="AA6" s="214"/>
      <c r="AB6" s="87"/>
      <c r="AC6" s="487"/>
      <c r="AD6" s="87"/>
      <c r="AE6" s="87"/>
      <c r="AF6" s="87"/>
      <c r="AG6" s="87"/>
    </row>
    <row r="7" spans="1:33" ht="9.9499999999999993" customHeight="1">
      <c r="A7" s="210"/>
      <c r="B7" s="487"/>
      <c r="C7" s="516"/>
      <c r="D7" s="216"/>
      <c r="E7" s="217"/>
      <c r="F7" s="217"/>
      <c r="G7" s="217"/>
      <c r="H7" s="217"/>
      <c r="I7" s="217"/>
      <c r="J7" s="217"/>
      <c r="K7" s="212"/>
      <c r="L7" s="212"/>
      <c r="M7" s="494"/>
      <c r="N7" s="495"/>
      <c r="O7" s="495"/>
      <c r="P7" s="496"/>
      <c r="Q7" s="212"/>
      <c r="R7" s="487"/>
      <c r="S7" s="195"/>
      <c r="T7" s="214"/>
      <c r="U7" s="214"/>
      <c r="V7" s="214"/>
      <c r="W7" s="214"/>
      <c r="X7" s="214"/>
      <c r="Y7" s="214"/>
      <c r="Z7" s="214"/>
      <c r="AA7" s="214"/>
      <c r="AB7" s="87"/>
      <c r="AC7" s="487"/>
      <c r="AD7" s="87"/>
      <c r="AE7" s="87"/>
      <c r="AF7" s="87"/>
      <c r="AG7" s="87"/>
    </row>
    <row r="8" spans="1:33" ht="18.75">
      <c r="A8" s="210"/>
      <c r="B8" s="487"/>
      <c r="C8" s="516"/>
      <c r="D8" s="213" t="s">
        <v>572</v>
      </c>
      <c r="E8" s="217"/>
      <c r="F8" s="217"/>
      <c r="G8" s="217"/>
      <c r="H8" s="217"/>
      <c r="I8" s="217"/>
      <c r="J8" s="217"/>
      <c r="K8" s="212"/>
      <c r="L8" s="212"/>
      <c r="Q8" s="212"/>
      <c r="R8" s="487"/>
      <c r="S8" s="195"/>
      <c r="T8" s="195"/>
      <c r="U8" s="195"/>
      <c r="V8" s="195"/>
      <c r="W8" s="195"/>
      <c r="X8" s="195"/>
      <c r="Y8" s="195"/>
      <c r="Z8" s="195"/>
      <c r="AA8" s="195"/>
      <c r="AB8" s="87"/>
      <c r="AC8" s="487"/>
      <c r="AD8" s="87"/>
      <c r="AE8" s="87"/>
      <c r="AF8" s="87"/>
      <c r="AG8" s="87"/>
    </row>
    <row r="9" spans="1:33" ht="18.75" customHeight="1">
      <c r="A9" s="210"/>
      <c r="B9" s="487"/>
      <c r="C9" s="516"/>
      <c r="D9" s="215" t="s">
        <v>5</v>
      </c>
      <c r="E9" s="217"/>
      <c r="F9" s="217"/>
      <c r="G9" s="217"/>
      <c r="H9" s="217"/>
      <c r="I9" s="217"/>
      <c r="J9" s="217"/>
      <c r="K9" s="212"/>
      <c r="L9" s="212"/>
      <c r="Q9" s="212"/>
      <c r="R9" s="487"/>
      <c r="S9" s="195"/>
      <c r="T9" s="195"/>
      <c r="U9" s="195"/>
      <c r="V9" s="195"/>
      <c r="W9" s="195"/>
      <c r="X9" s="195"/>
      <c r="Y9" s="195"/>
      <c r="Z9" s="195"/>
      <c r="AA9" s="195"/>
      <c r="AB9" s="87"/>
      <c r="AC9" s="487"/>
      <c r="AD9" s="87"/>
      <c r="AE9" s="87"/>
      <c r="AF9" s="87"/>
      <c r="AG9" s="87"/>
    </row>
    <row r="10" spans="1:33" ht="9.9499999999999993" customHeight="1">
      <c r="A10" s="210"/>
      <c r="B10" s="487"/>
      <c r="C10" s="516"/>
      <c r="D10" s="216"/>
      <c r="E10" s="217"/>
      <c r="F10" s="217"/>
      <c r="G10" s="217"/>
      <c r="H10" s="217"/>
      <c r="I10" s="217"/>
      <c r="J10" s="217"/>
      <c r="K10" s="212"/>
      <c r="L10" s="212"/>
      <c r="Q10" s="212"/>
      <c r="R10" s="487"/>
      <c r="S10" s="195"/>
      <c r="T10" s="195"/>
      <c r="U10" s="195"/>
      <c r="V10" s="195"/>
      <c r="W10" s="195"/>
      <c r="X10" s="195"/>
      <c r="Y10" s="195"/>
      <c r="Z10" s="195"/>
      <c r="AA10" s="195"/>
      <c r="AB10" s="87"/>
      <c r="AC10" s="487"/>
      <c r="AD10" s="87"/>
      <c r="AE10" s="87"/>
      <c r="AF10" s="87"/>
      <c r="AG10" s="87"/>
    </row>
    <row r="11" spans="1:33" ht="15" customHeight="1">
      <c r="A11" s="210"/>
      <c r="B11" s="487"/>
      <c r="C11" s="516"/>
      <c r="D11" s="213" t="s">
        <v>581</v>
      </c>
      <c r="E11" s="217"/>
      <c r="F11" s="217"/>
      <c r="G11" s="217"/>
      <c r="H11" s="217"/>
      <c r="I11" s="217"/>
      <c r="J11" s="217"/>
      <c r="K11" s="212"/>
      <c r="L11" s="212"/>
      <c r="M11" s="212"/>
      <c r="N11" s="212"/>
      <c r="O11" s="218"/>
      <c r="P11" s="218"/>
      <c r="Q11" s="212"/>
      <c r="R11" s="487"/>
      <c r="S11" s="195"/>
      <c r="T11" s="195"/>
      <c r="U11" s="195"/>
      <c r="V11" s="195"/>
      <c r="W11" s="195"/>
      <c r="X11" s="195"/>
      <c r="Y11" s="195"/>
      <c r="Z11" s="195"/>
      <c r="AA11" s="195"/>
      <c r="AB11" s="87"/>
      <c r="AC11" s="487"/>
      <c r="AD11" s="87"/>
      <c r="AE11" s="87"/>
      <c r="AF11" s="87"/>
      <c r="AG11" s="87"/>
    </row>
    <row r="12" spans="1:33" ht="15" customHeight="1">
      <c r="A12" s="210"/>
      <c r="B12" s="487"/>
      <c r="C12" s="516"/>
      <c r="D12" s="213" t="s">
        <v>582</v>
      </c>
      <c r="E12" s="217"/>
      <c r="F12" s="217"/>
      <c r="G12" s="217"/>
      <c r="H12" s="217"/>
      <c r="I12" s="217"/>
      <c r="J12" s="217"/>
      <c r="K12" s="212"/>
      <c r="L12" s="212"/>
      <c r="M12" s="212"/>
      <c r="N12" s="212"/>
      <c r="O12" s="218"/>
      <c r="P12" s="218"/>
      <c r="Q12" s="212"/>
      <c r="R12" s="487"/>
      <c r="S12" s="195"/>
      <c r="T12" s="195"/>
      <c r="U12" s="195"/>
      <c r="V12" s="195"/>
      <c r="W12" s="195"/>
      <c r="X12" s="195"/>
      <c r="Y12" s="195"/>
      <c r="Z12" s="195"/>
      <c r="AA12" s="195"/>
      <c r="AB12" s="87"/>
      <c r="AC12" s="487"/>
      <c r="AD12" s="87"/>
      <c r="AE12" s="87"/>
      <c r="AF12" s="87"/>
      <c r="AG12" s="87"/>
    </row>
    <row r="13" spans="1:33" ht="16.5" customHeight="1">
      <c r="A13" s="210"/>
      <c r="B13" s="487"/>
      <c r="C13" s="516"/>
      <c r="D13" s="215" t="s">
        <v>6</v>
      </c>
      <c r="E13" s="195"/>
      <c r="F13" s="195"/>
      <c r="G13" s="195"/>
      <c r="H13" s="195"/>
      <c r="I13" s="195"/>
      <c r="J13" s="195"/>
      <c r="K13" s="212"/>
      <c r="L13" s="212"/>
      <c r="M13" s="212"/>
      <c r="N13" s="212"/>
      <c r="O13" s="212"/>
      <c r="P13" s="212"/>
      <c r="Q13" s="212"/>
      <c r="R13" s="487"/>
      <c r="S13" s="195"/>
      <c r="T13" s="195"/>
      <c r="U13" s="195"/>
      <c r="V13" s="195"/>
      <c r="W13" s="87"/>
      <c r="X13" s="87"/>
      <c r="Y13" s="87"/>
      <c r="Z13" s="87"/>
      <c r="AA13" s="195"/>
      <c r="AB13" s="87"/>
      <c r="AC13" s="487"/>
      <c r="AD13" s="87"/>
      <c r="AE13" s="87"/>
      <c r="AF13" s="87"/>
      <c r="AG13" s="87"/>
    </row>
    <row r="14" spans="1:33" ht="16.5" customHeight="1">
      <c r="A14" s="210"/>
      <c r="B14" s="487"/>
      <c r="C14" s="516"/>
      <c r="D14" s="215" t="s">
        <v>573</v>
      </c>
      <c r="E14" s="195"/>
      <c r="F14" s="195"/>
      <c r="G14" s="195"/>
      <c r="H14" s="195"/>
      <c r="I14" s="195"/>
      <c r="J14" s="195"/>
      <c r="K14" s="212"/>
      <c r="L14" s="212"/>
      <c r="M14" s="212"/>
      <c r="N14" s="212"/>
      <c r="O14" s="212"/>
      <c r="P14" s="212"/>
      <c r="Q14" s="212"/>
      <c r="R14" s="487"/>
      <c r="S14" s="195"/>
      <c r="T14" s="195"/>
      <c r="U14" s="195"/>
      <c r="V14" s="195"/>
      <c r="W14" s="87"/>
      <c r="X14" s="87"/>
      <c r="Y14" s="87"/>
      <c r="Z14" s="87"/>
      <c r="AA14" s="195"/>
      <c r="AB14" s="87"/>
      <c r="AC14" s="487"/>
      <c r="AD14" s="87"/>
      <c r="AE14" s="87"/>
      <c r="AF14" s="87"/>
      <c r="AG14" s="87"/>
    </row>
    <row r="15" spans="1:33" ht="9.9499999999999993" customHeight="1">
      <c r="A15" s="210"/>
      <c r="B15" s="487"/>
      <c r="C15" s="516"/>
      <c r="D15" s="216"/>
      <c r="E15" s="217"/>
      <c r="F15" s="217"/>
      <c r="G15" s="217"/>
      <c r="H15" s="217"/>
      <c r="I15" s="217"/>
      <c r="J15" s="217"/>
      <c r="K15" s="212"/>
      <c r="L15" s="212"/>
      <c r="M15" s="212"/>
      <c r="N15" s="212"/>
      <c r="O15" s="218"/>
      <c r="P15" s="218"/>
      <c r="Q15" s="212"/>
      <c r="R15" s="487"/>
      <c r="S15" s="195"/>
      <c r="T15" s="195"/>
      <c r="U15" s="195"/>
      <c r="V15" s="195"/>
      <c r="W15" s="87"/>
      <c r="X15" s="87"/>
      <c r="Y15" s="87"/>
      <c r="Z15" s="87"/>
      <c r="AA15" s="195"/>
      <c r="AB15" s="87"/>
      <c r="AC15" s="487"/>
      <c r="AD15" s="87"/>
      <c r="AE15" s="87"/>
      <c r="AF15" s="87"/>
      <c r="AG15" s="87"/>
    </row>
    <row r="16" spans="1:33" ht="16.5" customHeight="1">
      <c r="A16" s="210"/>
      <c r="B16" s="487"/>
      <c r="C16" s="516"/>
      <c r="D16" s="213" t="s">
        <v>583</v>
      </c>
      <c r="E16" s="217"/>
      <c r="F16" s="217"/>
      <c r="G16" s="217"/>
      <c r="H16" s="217"/>
      <c r="I16" s="217"/>
      <c r="J16" s="217"/>
      <c r="K16" s="212"/>
      <c r="L16" s="212"/>
      <c r="M16" s="212"/>
      <c r="N16" s="212"/>
      <c r="O16" s="218"/>
      <c r="P16" s="218"/>
      <c r="Q16" s="212"/>
      <c r="R16" s="487"/>
      <c r="S16" s="195"/>
      <c r="T16" s="195"/>
      <c r="U16" s="195"/>
      <c r="V16" s="195"/>
      <c r="W16" s="195"/>
      <c r="X16" s="195"/>
      <c r="Y16" s="195"/>
      <c r="Z16" s="195"/>
      <c r="AA16" s="195"/>
      <c r="AB16" s="87"/>
      <c r="AC16" s="487"/>
      <c r="AD16" s="87"/>
      <c r="AE16" s="87"/>
      <c r="AF16" s="87"/>
      <c r="AG16" s="87"/>
    </row>
    <row r="17" spans="1:33" ht="16.5" customHeight="1">
      <c r="A17" s="210"/>
      <c r="B17" s="487"/>
      <c r="C17" s="516"/>
      <c r="D17" s="215" t="s">
        <v>574</v>
      </c>
      <c r="E17" s="217"/>
      <c r="F17" s="217"/>
      <c r="G17" s="217"/>
      <c r="H17" s="217"/>
      <c r="I17" s="217"/>
      <c r="J17" s="217"/>
      <c r="K17" s="212"/>
      <c r="L17" s="212"/>
      <c r="M17" s="212"/>
      <c r="N17" s="212"/>
      <c r="O17" s="218"/>
      <c r="P17" s="218"/>
      <c r="Q17" s="212"/>
      <c r="R17" s="487"/>
      <c r="S17" s="195"/>
      <c r="T17" s="195"/>
      <c r="U17" s="195"/>
      <c r="V17" s="195"/>
      <c r="W17" s="195"/>
      <c r="X17" s="195"/>
      <c r="Y17" s="195"/>
      <c r="Z17" s="195"/>
      <c r="AA17" s="195"/>
      <c r="AB17" s="87"/>
      <c r="AC17" s="487"/>
      <c r="AD17" s="87"/>
      <c r="AE17" s="87"/>
      <c r="AF17" s="87"/>
      <c r="AG17" s="87"/>
    </row>
    <row r="18" spans="1:33" ht="9.9499999999999993" customHeight="1">
      <c r="A18" s="210"/>
      <c r="B18" s="487"/>
      <c r="C18" s="516"/>
      <c r="D18" s="216"/>
      <c r="E18" s="195"/>
      <c r="F18" s="195"/>
      <c r="G18" s="195"/>
      <c r="H18" s="195"/>
      <c r="I18" s="195"/>
      <c r="J18" s="195"/>
      <c r="K18" s="212"/>
      <c r="L18" s="212"/>
      <c r="M18" s="212"/>
      <c r="N18" s="212"/>
      <c r="O18" s="212"/>
      <c r="P18" s="212"/>
      <c r="Q18" s="212"/>
      <c r="R18" s="487"/>
      <c r="S18" s="195"/>
      <c r="T18" s="195"/>
      <c r="U18" s="195"/>
      <c r="V18" s="195"/>
      <c r="W18" s="195"/>
      <c r="X18" s="195"/>
      <c r="Y18" s="195"/>
      <c r="Z18" s="195"/>
      <c r="AA18" s="195"/>
      <c r="AB18" s="87"/>
      <c r="AC18" s="487"/>
      <c r="AD18" s="87"/>
      <c r="AE18" s="87"/>
      <c r="AF18" s="87"/>
      <c r="AG18" s="87"/>
    </row>
    <row r="19" spans="1:33" ht="16.5" customHeight="1">
      <c r="A19" s="210"/>
      <c r="B19" s="487"/>
      <c r="C19" s="516"/>
      <c r="D19" s="213" t="s">
        <v>584</v>
      </c>
      <c r="E19" s="219"/>
      <c r="F19" s="219"/>
      <c r="G19" s="219"/>
      <c r="H19" s="219"/>
      <c r="I19" s="219"/>
      <c r="J19" s="219"/>
      <c r="K19" s="210"/>
      <c r="L19" s="210"/>
      <c r="M19" s="210"/>
      <c r="N19" s="210"/>
      <c r="O19" s="220"/>
      <c r="P19" s="220"/>
      <c r="Q19" s="210"/>
      <c r="R19" s="487"/>
      <c r="S19" s="195"/>
      <c r="T19" s="195"/>
      <c r="U19" s="195"/>
      <c r="V19" s="195"/>
      <c r="W19" s="195"/>
      <c r="X19" s="195"/>
      <c r="Y19" s="195"/>
      <c r="Z19" s="195"/>
      <c r="AA19" s="195"/>
      <c r="AB19" s="87"/>
      <c r="AC19" s="487"/>
      <c r="AD19" s="87"/>
      <c r="AE19" s="87"/>
      <c r="AF19" s="87"/>
      <c r="AG19" s="87"/>
    </row>
    <row r="20" spans="1:33" ht="16.5" customHeight="1">
      <c r="A20" s="210"/>
      <c r="B20" s="487"/>
      <c r="C20" s="516"/>
      <c r="D20" s="215" t="s">
        <v>575</v>
      </c>
      <c r="E20" s="219"/>
      <c r="F20" s="219"/>
      <c r="G20" s="219"/>
      <c r="H20" s="219"/>
      <c r="I20" s="219"/>
      <c r="J20" s="219"/>
      <c r="K20" s="210"/>
      <c r="L20" s="210"/>
      <c r="M20" s="210"/>
      <c r="N20" s="210"/>
      <c r="O20" s="220"/>
      <c r="P20" s="220"/>
      <c r="Q20" s="210"/>
      <c r="R20" s="487"/>
      <c r="S20" s="195"/>
      <c r="T20" s="195"/>
      <c r="U20" s="195"/>
      <c r="V20" s="195"/>
      <c r="W20" s="195"/>
      <c r="X20" s="195"/>
      <c r="Y20" s="195"/>
      <c r="Z20" s="195"/>
      <c r="AA20" s="195"/>
      <c r="AB20" s="87"/>
      <c r="AC20" s="487"/>
      <c r="AD20" s="87"/>
      <c r="AE20" s="87"/>
      <c r="AF20" s="87"/>
      <c r="AG20" s="87"/>
    </row>
    <row r="21" spans="1:33" ht="9.9499999999999993" customHeight="1">
      <c r="A21" s="210"/>
      <c r="B21" s="487"/>
      <c r="C21" s="516"/>
      <c r="D21" s="216"/>
      <c r="E21" s="219"/>
      <c r="F21" s="219"/>
      <c r="G21" s="219"/>
      <c r="H21" s="219"/>
      <c r="I21" s="219"/>
      <c r="J21" s="219"/>
      <c r="K21" s="210"/>
      <c r="L21" s="210"/>
      <c r="Q21" s="210"/>
      <c r="R21" s="487"/>
      <c r="S21" s="195"/>
      <c r="T21" s="195"/>
      <c r="U21" s="195"/>
      <c r="V21" s="195"/>
      <c r="W21" s="195"/>
      <c r="X21" s="195"/>
      <c r="Y21" s="195"/>
      <c r="Z21" s="195"/>
      <c r="AA21" s="195"/>
      <c r="AB21" s="87"/>
      <c r="AC21" s="487"/>
      <c r="AD21" s="87"/>
      <c r="AE21" s="87"/>
      <c r="AF21" s="87"/>
      <c r="AG21" s="87"/>
    </row>
    <row r="22" spans="1:33" ht="15" customHeight="1">
      <c r="A22" s="210"/>
      <c r="B22" s="487"/>
      <c r="C22" s="516"/>
      <c r="D22" s="213" t="s">
        <v>585</v>
      </c>
      <c r="E22" s="219"/>
      <c r="F22" s="219"/>
      <c r="G22" s="219"/>
      <c r="H22" s="219"/>
      <c r="I22" s="219"/>
      <c r="J22" s="219"/>
      <c r="K22" s="210"/>
      <c r="L22" s="210"/>
      <c r="Q22" s="210"/>
      <c r="R22" s="487"/>
      <c r="S22" s="195"/>
      <c r="T22" s="195"/>
      <c r="U22" s="195"/>
      <c r="V22" s="195"/>
      <c r="W22" s="195"/>
      <c r="X22" s="195"/>
      <c r="Y22" s="195"/>
      <c r="Z22" s="195"/>
      <c r="AA22" s="195"/>
      <c r="AB22" s="87"/>
      <c r="AC22" s="487"/>
      <c r="AD22" s="87"/>
      <c r="AE22" s="87"/>
      <c r="AF22" s="87"/>
      <c r="AG22" s="87"/>
    </row>
    <row r="23" spans="1:33" ht="15" customHeight="1">
      <c r="A23" s="210"/>
      <c r="B23" s="487"/>
      <c r="C23" s="516"/>
      <c r="D23" s="215" t="s">
        <v>576</v>
      </c>
      <c r="E23" s="219"/>
      <c r="F23" s="219"/>
      <c r="G23" s="219"/>
      <c r="H23" s="219"/>
      <c r="I23" s="219"/>
      <c r="J23" s="219"/>
      <c r="K23" s="210"/>
      <c r="L23" s="210"/>
      <c r="M23" s="210"/>
      <c r="N23" s="210"/>
      <c r="O23" s="220"/>
      <c r="P23" s="220"/>
      <c r="Q23" s="210"/>
      <c r="R23" s="487"/>
      <c r="S23" s="195"/>
      <c r="T23" s="195"/>
      <c r="U23" s="195"/>
      <c r="V23" s="195"/>
      <c r="W23" s="195"/>
      <c r="X23" s="195"/>
      <c r="Y23" s="195"/>
      <c r="Z23" s="195"/>
      <c r="AA23" s="195"/>
      <c r="AB23" s="87"/>
      <c r="AC23" s="487"/>
      <c r="AD23" s="87"/>
      <c r="AE23" s="87"/>
      <c r="AF23" s="87"/>
      <c r="AG23" s="87"/>
    </row>
    <row r="24" spans="1:33" ht="9.9499999999999993" customHeight="1">
      <c r="A24" s="210"/>
      <c r="B24" s="487"/>
      <c r="C24" s="516"/>
      <c r="D24" s="216"/>
      <c r="E24" s="219"/>
      <c r="F24" s="219"/>
      <c r="G24" s="219"/>
      <c r="H24" s="219"/>
      <c r="I24" s="219"/>
      <c r="J24" s="219"/>
      <c r="K24" s="210"/>
      <c r="L24" s="210"/>
      <c r="M24" s="210"/>
      <c r="N24" s="210"/>
      <c r="O24" s="221"/>
      <c r="P24" s="221"/>
      <c r="Q24" s="210"/>
      <c r="R24" s="487"/>
      <c r="S24" s="195"/>
      <c r="T24" s="195"/>
      <c r="U24" s="195"/>
      <c r="V24" s="195"/>
      <c r="W24" s="195"/>
      <c r="X24" s="195"/>
      <c r="Y24" s="195"/>
      <c r="Z24" s="195"/>
      <c r="AA24" s="195"/>
      <c r="AB24" s="87"/>
      <c r="AC24" s="487"/>
      <c r="AD24" s="87"/>
      <c r="AE24" s="87"/>
      <c r="AF24" s="87"/>
      <c r="AG24" s="87"/>
    </row>
    <row r="25" spans="1:33" ht="15" customHeight="1">
      <c r="A25" s="210"/>
      <c r="B25" s="487"/>
      <c r="C25" s="516"/>
      <c r="D25" s="213" t="s">
        <v>586</v>
      </c>
      <c r="E25" s="219"/>
      <c r="F25" s="219"/>
      <c r="G25" s="219"/>
      <c r="H25" s="219"/>
      <c r="I25" s="219"/>
      <c r="J25" s="219"/>
      <c r="K25" s="210"/>
      <c r="L25" s="210"/>
      <c r="M25" s="210"/>
      <c r="N25" s="210"/>
      <c r="O25" s="222"/>
      <c r="P25" s="222"/>
      <c r="Q25" s="210"/>
      <c r="R25" s="487"/>
      <c r="S25" s="195"/>
      <c r="T25" s="195"/>
      <c r="U25" s="195"/>
      <c r="V25" s="195"/>
      <c r="W25" s="195"/>
      <c r="X25" s="195"/>
      <c r="Y25" s="195"/>
      <c r="Z25" s="195"/>
      <c r="AA25" s="195"/>
      <c r="AB25" s="87"/>
      <c r="AC25" s="487"/>
      <c r="AD25" s="87"/>
      <c r="AE25" s="87"/>
      <c r="AF25" s="87"/>
      <c r="AG25" s="87"/>
    </row>
    <row r="26" spans="1:33" ht="15" customHeight="1">
      <c r="A26" s="210"/>
      <c r="B26" s="487"/>
      <c r="C26" s="516"/>
      <c r="D26" s="215" t="s">
        <v>587</v>
      </c>
      <c r="E26" s="219"/>
      <c r="F26" s="219"/>
      <c r="G26" s="219"/>
      <c r="H26" s="219"/>
      <c r="I26" s="219"/>
      <c r="J26" s="219"/>
      <c r="K26" s="210"/>
      <c r="L26" s="210"/>
      <c r="M26" s="210"/>
      <c r="N26" s="210"/>
      <c r="O26" s="222"/>
      <c r="P26" s="222"/>
      <c r="Q26" s="210"/>
      <c r="R26" s="487"/>
      <c r="S26" s="195"/>
      <c r="T26" s="195"/>
      <c r="U26" s="195"/>
      <c r="V26" s="195"/>
      <c r="W26" s="195"/>
      <c r="X26" s="195"/>
      <c r="Y26" s="195"/>
      <c r="Z26" s="195"/>
      <c r="AA26" s="195"/>
      <c r="AB26" s="87"/>
      <c r="AC26" s="487"/>
      <c r="AD26" s="87"/>
      <c r="AE26" s="87"/>
      <c r="AF26" s="87"/>
      <c r="AG26" s="87"/>
    </row>
    <row r="27" spans="1:33" ht="9.9499999999999993" customHeight="1">
      <c r="A27" s="210"/>
      <c r="B27" s="487"/>
      <c r="C27" s="516"/>
      <c r="D27" s="216"/>
      <c r="E27" s="219"/>
      <c r="F27" s="219"/>
      <c r="G27" s="219"/>
      <c r="H27" s="219"/>
      <c r="I27" s="219"/>
      <c r="J27" s="219"/>
      <c r="K27" s="210"/>
      <c r="L27" s="210"/>
      <c r="M27" s="210"/>
      <c r="N27" s="210"/>
      <c r="O27" s="222"/>
      <c r="P27" s="222"/>
      <c r="Q27" s="210"/>
      <c r="R27" s="487"/>
      <c r="S27" s="195"/>
      <c r="T27" s="195"/>
      <c r="U27" s="195"/>
      <c r="V27" s="195"/>
      <c r="W27" s="195"/>
      <c r="X27" s="195"/>
      <c r="Y27" s="195"/>
      <c r="Z27" s="195"/>
      <c r="AA27" s="195"/>
      <c r="AB27" s="223"/>
      <c r="AC27" s="487"/>
      <c r="AD27" s="87"/>
      <c r="AE27" s="87"/>
      <c r="AF27" s="87"/>
      <c r="AG27" s="87"/>
    </row>
    <row r="28" spans="1:33" ht="15" customHeight="1">
      <c r="A28" s="210"/>
      <c r="B28" s="487"/>
      <c r="C28" s="516"/>
      <c r="D28" s="213" t="s">
        <v>588</v>
      </c>
      <c r="E28" s="219"/>
      <c r="F28" s="219"/>
      <c r="G28" s="219"/>
      <c r="H28" s="219"/>
      <c r="I28" s="219"/>
      <c r="J28" s="219"/>
      <c r="K28" s="210"/>
      <c r="L28" s="210"/>
      <c r="M28" s="210"/>
      <c r="N28" s="210"/>
      <c r="O28" s="222"/>
      <c r="P28" s="222"/>
      <c r="Q28" s="210"/>
      <c r="R28" s="487"/>
      <c r="S28" s="195"/>
      <c r="T28" s="195"/>
      <c r="U28" s="195"/>
      <c r="V28" s="195"/>
      <c r="W28" s="195"/>
      <c r="X28" s="195"/>
      <c r="Y28" s="195"/>
      <c r="Z28" s="195"/>
      <c r="AA28" s="195"/>
      <c r="AB28" s="224"/>
      <c r="AC28" s="487"/>
      <c r="AD28" s="87"/>
      <c r="AE28" s="87"/>
      <c r="AF28" s="87"/>
      <c r="AG28" s="87"/>
    </row>
    <row r="29" spans="1:33" ht="15" customHeight="1">
      <c r="A29" s="210"/>
      <c r="B29" s="487"/>
      <c r="C29" s="516"/>
      <c r="D29" s="215" t="s">
        <v>577</v>
      </c>
      <c r="E29" s="219"/>
      <c r="F29" s="219"/>
      <c r="G29" s="219"/>
      <c r="H29" s="219"/>
      <c r="I29" s="219"/>
      <c r="J29" s="219"/>
      <c r="K29" s="210"/>
      <c r="L29" s="210"/>
      <c r="M29" s="210"/>
      <c r="N29" s="210"/>
      <c r="O29" s="222"/>
      <c r="P29" s="222"/>
      <c r="Q29" s="210"/>
      <c r="R29" s="487"/>
      <c r="S29" s="195"/>
      <c r="T29" s="195"/>
      <c r="U29" s="195"/>
      <c r="V29" s="195"/>
      <c r="W29" s="195"/>
      <c r="X29" s="195"/>
      <c r="Y29" s="195"/>
      <c r="Z29" s="195"/>
      <c r="AA29" s="195"/>
      <c r="AB29" s="87"/>
      <c r="AC29" s="487"/>
      <c r="AD29" s="87"/>
      <c r="AE29" s="87"/>
      <c r="AF29" s="87"/>
      <c r="AG29" s="87"/>
    </row>
    <row r="30" spans="1:33" ht="9.9499999999999993" customHeight="1">
      <c r="A30" s="210"/>
      <c r="B30" s="487"/>
      <c r="C30" s="516"/>
      <c r="D30" s="216"/>
      <c r="E30" s="219"/>
      <c r="F30" s="219"/>
      <c r="G30" s="219"/>
      <c r="H30" s="219"/>
      <c r="I30" s="219"/>
      <c r="J30" s="219"/>
      <c r="K30" s="210"/>
      <c r="L30" s="210"/>
      <c r="M30" s="210"/>
      <c r="N30" s="210"/>
      <c r="O30" s="222"/>
      <c r="P30" s="222"/>
      <c r="Q30" s="210"/>
      <c r="R30" s="487"/>
      <c r="S30" s="195"/>
      <c r="T30" s="195"/>
      <c r="U30" s="195"/>
      <c r="V30" s="195"/>
      <c r="W30" s="195"/>
      <c r="X30" s="195"/>
      <c r="Y30" s="195"/>
      <c r="Z30" s="195"/>
      <c r="AA30" s="195"/>
      <c r="AB30" s="223"/>
      <c r="AC30" s="487"/>
      <c r="AD30" s="87"/>
      <c r="AE30" s="87"/>
      <c r="AF30" s="87"/>
      <c r="AG30" s="87"/>
    </row>
    <row r="31" spans="1:33" ht="15" customHeight="1">
      <c r="A31" s="210"/>
      <c r="B31" s="487"/>
      <c r="C31" s="516"/>
      <c r="D31" s="213" t="s">
        <v>589</v>
      </c>
      <c r="E31" s="219"/>
      <c r="F31" s="219"/>
      <c r="G31" s="219"/>
      <c r="H31" s="219"/>
      <c r="I31" s="219"/>
      <c r="J31" s="219"/>
      <c r="K31" s="210"/>
      <c r="L31" s="210"/>
      <c r="M31" s="210"/>
      <c r="N31" s="210"/>
      <c r="O31" s="222"/>
      <c r="P31" s="222"/>
      <c r="Q31" s="210"/>
      <c r="R31" s="487"/>
      <c r="S31" s="195"/>
      <c r="T31" s="195"/>
      <c r="U31" s="195"/>
      <c r="V31" s="195"/>
      <c r="W31" s="195"/>
      <c r="X31" s="195"/>
      <c r="Y31" s="195"/>
      <c r="Z31" s="195"/>
      <c r="AA31" s="195"/>
      <c r="AB31" s="87"/>
      <c r="AC31" s="487"/>
      <c r="AD31" s="87"/>
      <c r="AE31" s="87"/>
      <c r="AF31" s="87"/>
      <c r="AG31" s="87"/>
    </row>
    <row r="32" spans="1:33" ht="15" customHeight="1">
      <c r="A32" s="210"/>
      <c r="B32" s="487"/>
      <c r="C32" s="516"/>
      <c r="D32" s="215" t="s">
        <v>578</v>
      </c>
      <c r="E32" s="219"/>
      <c r="F32" s="219"/>
      <c r="G32" s="219"/>
      <c r="H32" s="219"/>
      <c r="I32" s="219"/>
      <c r="J32" s="219"/>
      <c r="K32" s="210"/>
      <c r="L32" s="210"/>
      <c r="M32" s="225"/>
      <c r="N32" s="225"/>
      <c r="O32" s="225"/>
      <c r="P32" s="225"/>
      <c r="Q32" s="210"/>
      <c r="R32" s="487"/>
      <c r="S32" s="195"/>
      <c r="T32" s="195"/>
      <c r="U32" s="195"/>
      <c r="V32" s="195"/>
      <c r="W32" s="195"/>
      <c r="X32" s="195"/>
      <c r="Y32" s="195"/>
      <c r="Z32" s="195"/>
      <c r="AA32" s="195"/>
      <c r="AB32" s="87"/>
      <c r="AC32" s="487"/>
      <c r="AD32" s="87"/>
      <c r="AE32" s="87"/>
      <c r="AF32" s="87"/>
      <c r="AG32" s="87"/>
    </row>
    <row r="33" spans="1:33" ht="9.9499999999999993" customHeight="1">
      <c r="A33" s="210"/>
      <c r="B33" s="487"/>
      <c r="C33" s="516"/>
      <c r="D33" s="216"/>
      <c r="E33" s="219"/>
      <c r="F33" s="219"/>
      <c r="G33" s="219"/>
      <c r="H33" s="219"/>
      <c r="I33" s="219"/>
      <c r="J33" s="219"/>
      <c r="K33" s="210"/>
      <c r="L33" s="210"/>
      <c r="M33" s="225"/>
      <c r="N33" s="225"/>
      <c r="O33" s="225"/>
      <c r="P33" s="225"/>
      <c r="Q33" s="210"/>
      <c r="R33" s="487"/>
      <c r="S33" s="195"/>
      <c r="T33" s="195"/>
      <c r="U33" s="195"/>
      <c r="V33" s="195"/>
      <c r="W33" s="195"/>
      <c r="X33" s="195"/>
      <c r="Y33" s="195"/>
      <c r="Z33" s="195"/>
      <c r="AA33" s="195"/>
      <c r="AB33" s="87"/>
      <c r="AC33" s="487"/>
      <c r="AD33" s="87"/>
      <c r="AE33" s="87"/>
      <c r="AF33" s="87"/>
      <c r="AG33" s="87"/>
    </row>
    <row r="34" spans="1:33" ht="18.75">
      <c r="A34" s="210"/>
      <c r="B34" s="487"/>
      <c r="C34" s="516"/>
      <c r="D34" s="213" t="s">
        <v>590</v>
      </c>
      <c r="E34" s="219"/>
      <c r="F34" s="219"/>
      <c r="G34" s="219"/>
      <c r="H34" s="219"/>
      <c r="I34" s="219"/>
      <c r="J34" s="219"/>
      <c r="K34" s="210"/>
      <c r="L34" s="210"/>
      <c r="M34" s="225"/>
      <c r="N34" s="225"/>
      <c r="O34" s="225"/>
      <c r="P34" s="225"/>
      <c r="Q34" s="210"/>
      <c r="R34" s="487"/>
      <c r="S34" s="195"/>
      <c r="T34" s="195"/>
      <c r="U34" s="195"/>
      <c r="V34" s="195"/>
      <c r="W34" s="195"/>
      <c r="X34" s="195"/>
      <c r="Y34" s="195"/>
      <c r="Z34" s="195"/>
      <c r="AA34" s="195"/>
      <c r="AB34" s="87"/>
      <c r="AC34" s="487"/>
      <c r="AD34" s="87"/>
      <c r="AE34" s="87"/>
      <c r="AF34" s="87"/>
      <c r="AG34" s="87"/>
    </row>
    <row r="35" spans="1:33" ht="15" customHeight="1">
      <c r="A35" s="210"/>
      <c r="B35" s="487"/>
      <c r="C35" s="516"/>
      <c r="D35" s="215" t="s">
        <v>7</v>
      </c>
      <c r="E35" s="219"/>
      <c r="F35" s="219"/>
      <c r="G35" s="219"/>
      <c r="H35" s="219"/>
      <c r="I35" s="219"/>
      <c r="J35" s="219"/>
      <c r="K35" s="210"/>
      <c r="L35" s="210"/>
      <c r="M35" s="210"/>
      <c r="N35" s="210"/>
      <c r="Q35" s="210"/>
      <c r="R35" s="487"/>
      <c r="S35" s="195"/>
      <c r="T35" s="195"/>
      <c r="U35" s="195"/>
      <c r="V35" s="195"/>
      <c r="W35" s="195"/>
      <c r="X35" s="195"/>
      <c r="Y35" s="195"/>
      <c r="Z35" s="195"/>
      <c r="AA35" s="195"/>
      <c r="AB35" s="87"/>
      <c r="AC35" s="487"/>
      <c r="AD35" s="87"/>
      <c r="AE35" s="87"/>
      <c r="AF35" s="87"/>
      <c r="AG35" s="87"/>
    </row>
    <row r="36" spans="1:33" ht="9.9499999999999993" customHeight="1">
      <c r="A36" s="210"/>
      <c r="B36" s="487"/>
      <c r="C36" s="516"/>
      <c r="D36" s="216"/>
      <c r="E36" s="219"/>
      <c r="F36" s="219"/>
      <c r="G36" s="219"/>
      <c r="H36" s="219"/>
      <c r="I36" s="219"/>
      <c r="J36" s="219"/>
      <c r="K36" s="210"/>
      <c r="L36" s="210"/>
      <c r="M36" s="210"/>
      <c r="N36" s="210"/>
      <c r="Q36" s="210"/>
      <c r="R36" s="487"/>
      <c r="S36" s="195"/>
      <c r="T36" s="195"/>
      <c r="U36" s="195"/>
      <c r="V36" s="195"/>
      <c r="W36" s="195"/>
      <c r="X36" s="195"/>
      <c r="Y36" s="195"/>
      <c r="Z36" s="195"/>
      <c r="AA36" s="195"/>
      <c r="AB36" s="223"/>
      <c r="AC36" s="487"/>
      <c r="AD36" s="87"/>
      <c r="AE36" s="87"/>
      <c r="AF36" s="87"/>
      <c r="AG36" s="87"/>
    </row>
    <row r="37" spans="1:33" ht="15" customHeight="1">
      <c r="A37" s="210"/>
      <c r="B37" s="487"/>
      <c r="C37" s="516"/>
      <c r="D37" s="213" t="s">
        <v>591</v>
      </c>
      <c r="E37" s="219"/>
      <c r="F37" s="219"/>
      <c r="G37" s="219"/>
      <c r="H37" s="219"/>
      <c r="I37" s="219"/>
      <c r="J37" s="219"/>
      <c r="K37" s="210"/>
      <c r="L37" s="210"/>
      <c r="M37" s="210"/>
      <c r="N37" s="210"/>
      <c r="Q37" s="210"/>
      <c r="R37" s="487"/>
      <c r="S37" s="195"/>
      <c r="T37" s="195"/>
      <c r="U37" s="195"/>
      <c r="V37" s="87"/>
      <c r="W37" s="87"/>
      <c r="X37" s="87"/>
      <c r="Y37" s="87"/>
      <c r="Z37" s="195"/>
      <c r="AA37" s="195"/>
      <c r="AB37" s="224"/>
      <c r="AC37" s="487"/>
      <c r="AD37" s="87"/>
      <c r="AE37" s="87"/>
      <c r="AF37" s="87"/>
      <c r="AG37" s="87"/>
    </row>
    <row r="38" spans="1:33" ht="18.75" customHeight="1">
      <c r="A38" s="210"/>
      <c r="B38" s="487"/>
      <c r="C38" s="516"/>
      <c r="D38" s="215" t="s">
        <v>592</v>
      </c>
      <c r="E38" s="128"/>
      <c r="F38" s="128"/>
      <c r="G38" s="128"/>
      <c r="H38" s="128"/>
      <c r="I38" s="128"/>
      <c r="J38" s="128"/>
      <c r="K38" s="210"/>
      <c r="L38" s="210"/>
      <c r="M38" s="210"/>
      <c r="N38" s="210"/>
      <c r="Q38" s="210"/>
      <c r="R38" s="487"/>
      <c r="S38" s="195"/>
      <c r="T38" s="195"/>
      <c r="U38" s="195"/>
      <c r="V38" s="87"/>
      <c r="W38" s="87"/>
      <c r="X38" s="87"/>
      <c r="Y38" s="87"/>
      <c r="Z38" s="195"/>
      <c r="AA38" s="195"/>
      <c r="AB38" s="224"/>
      <c r="AC38" s="487"/>
      <c r="AD38" s="87"/>
      <c r="AE38" s="87"/>
      <c r="AF38" s="87"/>
      <c r="AG38" s="87"/>
    </row>
    <row r="39" spans="1:33" ht="18.75" customHeight="1">
      <c r="A39" s="210"/>
      <c r="B39" s="487"/>
      <c r="C39" s="516"/>
      <c r="D39" s="215" t="s">
        <v>600</v>
      </c>
      <c r="E39" s="210"/>
      <c r="F39" s="210"/>
      <c r="G39" s="210"/>
      <c r="H39" s="210"/>
      <c r="I39" s="210"/>
      <c r="J39" s="210"/>
      <c r="K39" s="210"/>
      <c r="L39" s="210"/>
      <c r="M39" s="210"/>
      <c r="N39" s="210"/>
      <c r="Q39" s="210"/>
      <c r="R39" s="487"/>
      <c r="S39" s="195"/>
      <c r="T39" s="195"/>
      <c r="U39" s="195"/>
      <c r="V39" s="87"/>
      <c r="W39" s="87"/>
      <c r="X39" s="87"/>
      <c r="Y39" s="87"/>
      <c r="Z39" s="195"/>
      <c r="AA39" s="195"/>
      <c r="AB39" s="87"/>
      <c r="AC39" s="487"/>
      <c r="AD39" s="87"/>
      <c r="AE39" s="87"/>
      <c r="AF39" s="87"/>
      <c r="AG39" s="87"/>
    </row>
    <row r="40" spans="1:33" ht="9.9499999999999993" customHeight="1">
      <c r="A40" s="210"/>
      <c r="B40" s="487"/>
      <c r="C40" s="516"/>
      <c r="D40" s="216"/>
      <c r="E40" s="210"/>
      <c r="F40" s="210"/>
      <c r="G40" s="210"/>
      <c r="H40" s="210"/>
      <c r="I40" s="210"/>
      <c r="J40" s="210"/>
      <c r="K40" s="210"/>
      <c r="L40" s="210"/>
      <c r="M40" s="210"/>
      <c r="N40" s="210"/>
      <c r="Q40" s="210"/>
      <c r="R40" s="487"/>
      <c r="S40" s="195"/>
      <c r="T40" s="195"/>
      <c r="U40" s="195"/>
      <c r="V40" s="195"/>
      <c r="W40" s="195"/>
      <c r="X40" s="195"/>
      <c r="Y40" s="195"/>
      <c r="Z40" s="195"/>
      <c r="AA40" s="195"/>
      <c r="AB40" s="87"/>
      <c r="AC40" s="487"/>
      <c r="AD40" s="87"/>
      <c r="AE40" s="87"/>
      <c r="AF40" s="87"/>
      <c r="AG40" s="87"/>
    </row>
    <row r="41" spans="1:33" ht="18.75">
      <c r="A41" s="210"/>
      <c r="B41" s="487"/>
      <c r="C41" s="516"/>
      <c r="D41" s="213" t="s">
        <v>593</v>
      </c>
      <c r="E41" s="210"/>
      <c r="F41" s="210"/>
      <c r="G41" s="210"/>
      <c r="H41" s="210"/>
      <c r="I41" s="210"/>
      <c r="J41" s="210"/>
      <c r="K41" s="210"/>
      <c r="L41" s="210"/>
      <c r="M41" s="210"/>
      <c r="N41" s="210"/>
      <c r="Q41" s="210"/>
      <c r="R41" s="487"/>
      <c r="S41" s="195"/>
      <c r="T41" s="195"/>
      <c r="U41" s="195"/>
      <c r="V41" s="195"/>
      <c r="W41" s="195"/>
      <c r="X41" s="195"/>
      <c r="Y41" s="195"/>
      <c r="Z41" s="195"/>
      <c r="AA41" s="195"/>
      <c r="AB41" s="224"/>
      <c r="AC41" s="487"/>
      <c r="AD41" s="87"/>
      <c r="AE41" s="87"/>
      <c r="AF41" s="87"/>
      <c r="AG41" s="87"/>
    </row>
    <row r="42" spans="1:33" ht="18.75" customHeight="1">
      <c r="A42" s="210"/>
      <c r="B42" s="487"/>
      <c r="C42" s="516"/>
      <c r="D42" s="215" t="s">
        <v>579</v>
      </c>
      <c r="E42" s="210"/>
      <c r="F42" s="210"/>
      <c r="G42" s="210"/>
      <c r="H42" s="210"/>
      <c r="I42" s="210"/>
      <c r="J42" s="210"/>
      <c r="K42" s="210"/>
      <c r="L42" s="210"/>
      <c r="M42" s="497" t="s">
        <v>607</v>
      </c>
      <c r="N42" s="498"/>
      <c r="O42" s="498"/>
      <c r="P42" s="499"/>
      <c r="Q42" s="210"/>
      <c r="R42" s="487"/>
      <c r="S42" s="195"/>
      <c r="T42" s="195"/>
      <c r="U42" s="195"/>
      <c r="V42" s="195"/>
      <c r="W42" s="195"/>
      <c r="X42" s="195"/>
      <c r="Y42" s="195"/>
      <c r="Z42" s="195"/>
      <c r="AA42" s="195"/>
      <c r="AB42" s="224"/>
      <c r="AC42" s="487"/>
      <c r="AD42" s="87"/>
      <c r="AE42" s="87"/>
      <c r="AF42" s="87"/>
      <c r="AG42" s="87"/>
    </row>
    <row r="43" spans="1:33" ht="18.75" customHeight="1">
      <c r="A43" s="210"/>
      <c r="B43" s="487"/>
      <c r="C43" s="516"/>
      <c r="D43" s="215" t="s">
        <v>599</v>
      </c>
      <c r="E43" s="210"/>
      <c r="F43" s="210"/>
      <c r="G43" s="210"/>
      <c r="H43" s="210"/>
      <c r="I43" s="210"/>
      <c r="J43" s="210"/>
      <c r="K43" s="210"/>
      <c r="L43" s="210"/>
      <c r="M43" s="500"/>
      <c r="N43" s="501"/>
      <c r="O43" s="501"/>
      <c r="P43" s="502"/>
      <c r="Q43" s="210"/>
      <c r="R43" s="487"/>
      <c r="S43" s="195"/>
      <c r="T43" s="195"/>
      <c r="U43" s="195"/>
      <c r="V43" s="195"/>
      <c r="W43" s="195"/>
      <c r="X43" s="195"/>
      <c r="Y43" s="195"/>
      <c r="Z43" s="195"/>
      <c r="AA43" s="195"/>
      <c r="AB43" s="87"/>
      <c r="AC43" s="487"/>
      <c r="AD43" s="87"/>
      <c r="AE43" s="87"/>
      <c r="AF43" s="87"/>
      <c r="AG43" s="87"/>
    </row>
    <row r="44" spans="1:33" ht="6" customHeight="1">
      <c r="A44" s="210"/>
      <c r="B44" s="487"/>
      <c r="C44" s="516"/>
      <c r="D44" s="215"/>
      <c r="E44" s="210"/>
      <c r="F44" s="210"/>
      <c r="G44" s="210"/>
      <c r="H44" s="210"/>
      <c r="I44" s="210"/>
      <c r="J44" s="210"/>
      <c r="K44" s="210"/>
      <c r="L44" s="210"/>
      <c r="M44" s="261"/>
      <c r="N44" s="261"/>
      <c r="O44" s="261"/>
      <c r="P44" s="261"/>
      <c r="Q44" s="210"/>
      <c r="R44" s="487"/>
      <c r="S44" s="195"/>
      <c r="T44" s="195"/>
      <c r="U44" s="195"/>
      <c r="V44" s="195"/>
      <c r="W44" s="195"/>
      <c r="X44" s="195"/>
      <c r="Y44" s="195"/>
      <c r="Z44" s="195"/>
      <c r="AA44" s="195"/>
      <c r="AB44" s="87"/>
      <c r="AC44" s="487"/>
      <c r="AD44" s="87"/>
      <c r="AE44" s="87"/>
      <c r="AF44" s="87"/>
      <c r="AG44" s="87"/>
    </row>
    <row r="45" spans="1:33" ht="6" customHeight="1">
      <c r="A45" s="210"/>
      <c r="B45" s="487"/>
      <c r="C45" s="516"/>
      <c r="D45" s="216"/>
      <c r="E45" s="210"/>
      <c r="F45" s="210"/>
      <c r="G45" s="210"/>
      <c r="H45" s="210"/>
      <c r="I45" s="210"/>
      <c r="J45" s="210"/>
      <c r="K45" s="210"/>
      <c r="L45" s="210"/>
      <c r="M45" s="210"/>
      <c r="N45" s="210"/>
      <c r="Q45" s="210"/>
      <c r="R45" s="487"/>
      <c r="S45" s="195"/>
      <c r="T45" s="195"/>
      <c r="U45" s="195"/>
      <c r="V45" s="195"/>
      <c r="W45" s="195"/>
      <c r="X45" s="195"/>
      <c r="Y45" s="195"/>
      <c r="Z45" s="195"/>
      <c r="AA45" s="195"/>
      <c r="AB45" s="87"/>
      <c r="AC45" s="487"/>
      <c r="AD45" s="87"/>
      <c r="AE45" s="87"/>
      <c r="AF45" s="87"/>
      <c r="AG45" s="87"/>
    </row>
    <row r="46" spans="1:33" ht="18.75">
      <c r="A46" s="210"/>
      <c r="B46" s="487"/>
      <c r="C46" s="516"/>
      <c r="D46" s="213" t="s">
        <v>594</v>
      </c>
      <c r="E46" s="210"/>
      <c r="F46" s="210"/>
      <c r="G46" s="210"/>
      <c r="H46" s="210"/>
      <c r="I46" s="210"/>
      <c r="J46" s="210"/>
      <c r="K46" s="210"/>
      <c r="L46" s="210"/>
      <c r="M46" s="210"/>
      <c r="N46" s="210"/>
      <c r="Q46" s="210"/>
      <c r="R46" s="487"/>
      <c r="S46" s="195"/>
      <c r="T46" s="522" t="s">
        <v>602</v>
      </c>
      <c r="U46" s="523"/>
      <c r="V46" s="523"/>
      <c r="W46" s="523"/>
      <c r="X46" s="523"/>
      <c r="Y46" s="523"/>
      <c r="Z46" s="523"/>
      <c r="AA46" s="524"/>
      <c r="AB46" s="87"/>
      <c r="AC46" s="487"/>
      <c r="AD46" s="87"/>
      <c r="AE46" s="87"/>
      <c r="AF46" s="87"/>
      <c r="AG46" s="87"/>
    </row>
    <row r="47" spans="1:33" ht="18.75">
      <c r="A47" s="210"/>
      <c r="B47" s="487"/>
      <c r="C47" s="516"/>
      <c r="D47" s="213" t="s">
        <v>595</v>
      </c>
      <c r="E47" s="210"/>
      <c r="F47" s="210"/>
      <c r="G47" s="210"/>
      <c r="H47" s="210"/>
      <c r="I47" s="210"/>
      <c r="J47" s="210"/>
      <c r="K47" s="210"/>
      <c r="L47" s="210"/>
      <c r="M47" s="210"/>
      <c r="N47" s="210"/>
      <c r="Q47" s="210"/>
      <c r="R47" s="487"/>
      <c r="S47" s="195"/>
      <c r="T47" s="525" t="s">
        <v>603</v>
      </c>
      <c r="U47" s="526"/>
      <c r="V47" s="526"/>
      <c r="W47" s="526"/>
      <c r="X47" s="526"/>
      <c r="Y47" s="526"/>
      <c r="Z47" s="526"/>
      <c r="AA47" s="527"/>
      <c r="AB47" s="87"/>
      <c r="AC47" s="487"/>
      <c r="AD47" s="87"/>
      <c r="AE47" s="87"/>
      <c r="AF47" s="87"/>
      <c r="AG47" s="87"/>
    </row>
    <row r="48" spans="1:33" ht="18.75">
      <c r="A48" s="210"/>
      <c r="B48" s="487"/>
      <c r="C48" s="516"/>
      <c r="D48" s="213" t="s">
        <v>596</v>
      </c>
      <c r="E48" s="210"/>
      <c r="F48" s="210"/>
      <c r="G48" s="210"/>
      <c r="H48" s="210"/>
      <c r="I48" s="210"/>
      <c r="J48" s="210"/>
      <c r="K48" s="210"/>
      <c r="L48" s="210"/>
      <c r="Q48" s="210"/>
      <c r="R48" s="487"/>
      <c r="S48" s="195"/>
      <c r="T48" s="528"/>
      <c r="U48" s="529"/>
      <c r="V48" s="529"/>
      <c r="W48" s="529"/>
      <c r="X48" s="529"/>
      <c r="Y48" s="529"/>
      <c r="Z48" s="529"/>
      <c r="AA48" s="530"/>
      <c r="AB48" s="87"/>
      <c r="AC48" s="487"/>
      <c r="AD48" s="87"/>
      <c r="AE48" s="87"/>
      <c r="AF48" s="87"/>
      <c r="AG48" s="87"/>
    </row>
    <row r="49" spans="1:33" ht="18.75">
      <c r="A49" s="210"/>
      <c r="B49" s="487"/>
      <c r="C49" s="516"/>
      <c r="D49" s="213" t="s">
        <v>597</v>
      </c>
      <c r="E49" s="210"/>
      <c r="F49" s="210"/>
      <c r="G49" s="210"/>
      <c r="H49" s="210"/>
      <c r="I49" s="210"/>
      <c r="J49" s="210"/>
      <c r="K49" s="210"/>
      <c r="L49" s="210"/>
      <c r="Q49" s="210"/>
      <c r="R49" s="487"/>
      <c r="S49" s="195"/>
      <c r="T49" s="528"/>
      <c r="U49" s="529"/>
      <c r="V49" s="529"/>
      <c r="W49" s="529"/>
      <c r="X49" s="529"/>
      <c r="Y49" s="529"/>
      <c r="Z49" s="529"/>
      <c r="AA49" s="530"/>
      <c r="AB49" s="87"/>
      <c r="AC49" s="487"/>
      <c r="AD49" s="87"/>
      <c r="AE49" s="87"/>
      <c r="AF49" s="87"/>
      <c r="AG49" s="87"/>
    </row>
    <row r="50" spans="1:33" ht="21">
      <c r="B50" s="487"/>
      <c r="C50" s="516"/>
      <c r="D50" s="226" t="s">
        <v>8</v>
      </c>
      <c r="E50" s="210"/>
      <c r="F50" s="210"/>
      <c r="G50" s="210"/>
      <c r="H50" s="210"/>
      <c r="I50" s="210"/>
      <c r="J50" s="210"/>
      <c r="K50" s="210"/>
      <c r="L50" s="210"/>
      <c r="M50" s="203"/>
      <c r="N50" s="203"/>
      <c r="O50" s="203"/>
      <c r="P50" s="203"/>
      <c r="Q50" s="210"/>
      <c r="R50" s="487"/>
      <c r="S50" s="87"/>
      <c r="T50" s="525" t="s">
        <v>604</v>
      </c>
      <c r="U50" s="526"/>
      <c r="V50" s="526"/>
      <c r="W50" s="526"/>
      <c r="X50" s="526"/>
      <c r="Y50" s="526"/>
      <c r="Z50" s="526"/>
      <c r="AA50" s="527"/>
      <c r="AB50" s="87"/>
      <c r="AC50" s="487"/>
      <c r="AD50" s="87"/>
      <c r="AE50" s="87"/>
      <c r="AF50" s="87"/>
      <c r="AG50" s="87"/>
    </row>
    <row r="51" spans="1:33" ht="18.75" customHeight="1">
      <c r="B51" s="487"/>
      <c r="C51" s="516"/>
      <c r="D51" s="210"/>
      <c r="E51" s="210"/>
      <c r="F51" s="210"/>
      <c r="G51" s="210"/>
      <c r="H51" s="210"/>
      <c r="I51" s="210"/>
      <c r="J51" s="210"/>
      <c r="K51" s="210"/>
      <c r="L51" s="210"/>
      <c r="M51" s="210"/>
      <c r="N51" s="210"/>
      <c r="Q51" s="210"/>
      <c r="R51" s="487"/>
      <c r="S51" s="87"/>
      <c r="T51" s="531"/>
      <c r="U51" s="532"/>
      <c r="V51" s="532"/>
      <c r="W51" s="532"/>
      <c r="X51" s="532"/>
      <c r="Y51" s="532"/>
      <c r="Z51" s="532"/>
      <c r="AA51" s="533"/>
      <c r="AB51" s="87"/>
      <c r="AC51" s="487"/>
      <c r="AD51" s="87"/>
      <c r="AE51" s="87"/>
      <c r="AF51" s="87"/>
      <c r="AG51" s="87"/>
    </row>
    <row r="52" spans="1:33" ht="18.75" customHeight="1">
      <c r="B52" s="487"/>
      <c r="C52" s="516"/>
      <c r="D52" s="510" t="s">
        <v>3</v>
      </c>
      <c r="E52" s="511"/>
      <c r="F52" s="511"/>
      <c r="G52" s="511"/>
      <c r="H52" s="511"/>
      <c r="I52" s="511"/>
      <c r="J52" s="511"/>
      <c r="K52" s="511"/>
      <c r="L52" s="511"/>
      <c r="M52" s="511"/>
      <c r="N52" s="511"/>
      <c r="O52" s="511"/>
      <c r="P52" s="512"/>
      <c r="Q52" s="210"/>
      <c r="R52" s="487"/>
      <c r="S52" s="87"/>
      <c r="T52" s="87"/>
      <c r="U52" s="87"/>
      <c r="V52" s="87"/>
      <c r="W52" s="87"/>
      <c r="X52" s="87"/>
      <c r="Y52" s="87"/>
      <c r="Z52" s="87"/>
      <c r="AA52" s="87"/>
      <c r="AB52" s="87"/>
      <c r="AC52" s="487"/>
      <c r="AD52" s="87"/>
      <c r="AE52" s="87"/>
      <c r="AF52" s="87"/>
      <c r="AG52" s="87"/>
    </row>
    <row r="53" spans="1:33" ht="18.75" customHeight="1">
      <c r="B53" s="487"/>
      <c r="C53" s="516"/>
      <c r="D53" s="513" t="s">
        <v>605</v>
      </c>
      <c r="E53" s="514"/>
      <c r="F53" s="514"/>
      <c r="G53" s="514"/>
      <c r="H53" s="514"/>
      <c r="I53" s="514"/>
      <c r="J53" s="514"/>
      <c r="K53" s="514"/>
      <c r="L53" s="514"/>
      <c r="M53" s="514"/>
      <c r="N53" s="514"/>
      <c r="O53" s="514"/>
      <c r="P53" s="515"/>
      <c r="Q53" s="254"/>
      <c r="R53" s="487"/>
      <c r="S53" s="254"/>
      <c r="T53" s="534" t="s">
        <v>21</v>
      </c>
      <c r="U53" s="535"/>
      <c r="V53" s="535"/>
      <c r="W53" s="535"/>
      <c r="X53" s="535"/>
      <c r="Y53" s="535"/>
      <c r="Z53" s="535"/>
      <c r="AA53" s="536"/>
      <c r="AB53" s="87"/>
      <c r="AC53" s="487"/>
      <c r="AD53" s="87"/>
      <c r="AE53" s="87"/>
      <c r="AF53" s="87"/>
      <c r="AG53" s="87"/>
    </row>
    <row r="54" spans="1:33" ht="18.75" customHeight="1">
      <c r="B54" s="487"/>
      <c r="C54" s="516"/>
      <c r="D54" s="513"/>
      <c r="E54" s="514"/>
      <c r="F54" s="514"/>
      <c r="G54" s="514"/>
      <c r="H54" s="514"/>
      <c r="I54" s="514"/>
      <c r="J54" s="514"/>
      <c r="K54" s="514"/>
      <c r="L54" s="514"/>
      <c r="M54" s="514"/>
      <c r="N54" s="514"/>
      <c r="O54" s="514"/>
      <c r="P54" s="515"/>
      <c r="Q54" s="251"/>
      <c r="R54" s="487"/>
      <c r="S54" s="251"/>
      <c r="T54" s="517" t="s">
        <v>611</v>
      </c>
      <c r="U54" s="518"/>
      <c r="V54" s="518"/>
      <c r="W54" s="518"/>
      <c r="X54" s="518"/>
      <c r="Y54" s="518"/>
      <c r="Z54" s="518"/>
      <c r="AA54" s="519"/>
      <c r="AB54" s="87"/>
      <c r="AC54" s="487"/>
      <c r="AD54" s="87"/>
      <c r="AE54" s="87"/>
      <c r="AF54" s="87"/>
      <c r="AG54" s="87"/>
    </row>
    <row r="55" spans="1:33" ht="18.75" customHeight="1">
      <c r="B55" s="487"/>
      <c r="C55" s="516"/>
      <c r="D55" s="513"/>
      <c r="E55" s="514"/>
      <c r="F55" s="514"/>
      <c r="G55" s="514"/>
      <c r="H55" s="514"/>
      <c r="I55" s="514"/>
      <c r="J55" s="514"/>
      <c r="K55" s="514"/>
      <c r="L55" s="514"/>
      <c r="M55" s="514"/>
      <c r="N55" s="514"/>
      <c r="O55" s="514"/>
      <c r="P55" s="515"/>
      <c r="Q55" s="251"/>
      <c r="R55" s="487"/>
      <c r="S55" s="251"/>
      <c r="T55" s="517"/>
      <c r="U55" s="518"/>
      <c r="V55" s="518"/>
      <c r="W55" s="518"/>
      <c r="X55" s="518"/>
      <c r="Y55" s="518"/>
      <c r="Z55" s="518"/>
      <c r="AA55" s="519"/>
      <c r="AC55" s="487"/>
    </row>
    <row r="56" spans="1:33" ht="18.75" customHeight="1">
      <c r="B56" s="487"/>
      <c r="C56" s="516"/>
      <c r="D56" s="513"/>
      <c r="E56" s="514"/>
      <c r="F56" s="514"/>
      <c r="G56" s="514"/>
      <c r="H56" s="514"/>
      <c r="I56" s="514"/>
      <c r="J56" s="514"/>
      <c r="K56" s="514"/>
      <c r="L56" s="514"/>
      <c r="M56" s="514"/>
      <c r="N56" s="514"/>
      <c r="O56" s="514"/>
      <c r="P56" s="515"/>
      <c r="Q56" s="251"/>
      <c r="R56" s="487"/>
      <c r="S56" s="251"/>
      <c r="T56" s="520" t="s">
        <v>24</v>
      </c>
      <c r="U56" s="439"/>
      <c r="V56" s="439"/>
      <c r="W56" s="439"/>
      <c r="X56" s="439"/>
      <c r="Y56" s="439"/>
      <c r="Z56" s="439"/>
      <c r="AA56" s="521"/>
      <c r="AC56" s="487"/>
    </row>
    <row r="57" spans="1:33" ht="18.75" customHeight="1">
      <c r="B57" s="487"/>
      <c r="C57" s="516"/>
      <c r="D57" s="513"/>
      <c r="E57" s="514"/>
      <c r="F57" s="514"/>
      <c r="G57" s="514"/>
      <c r="H57" s="514"/>
      <c r="I57" s="514"/>
      <c r="J57" s="514"/>
      <c r="K57" s="514"/>
      <c r="L57" s="514"/>
      <c r="M57" s="514"/>
      <c r="N57" s="514"/>
      <c r="O57" s="514"/>
      <c r="P57" s="515"/>
      <c r="Q57" s="251"/>
      <c r="R57" s="487"/>
      <c r="S57" s="251"/>
      <c r="T57" s="484" t="s">
        <v>25</v>
      </c>
      <c r="U57" s="441"/>
      <c r="V57" s="441"/>
      <c r="W57" s="441"/>
      <c r="X57" s="441"/>
      <c r="Y57" s="260" t="s">
        <v>23</v>
      </c>
      <c r="Z57" s="210"/>
      <c r="AA57" s="257"/>
      <c r="AC57" s="487"/>
    </row>
    <row r="58" spans="1:33" ht="18.75" customHeight="1">
      <c r="B58" s="487"/>
      <c r="C58" s="516"/>
      <c r="D58" s="503" t="s">
        <v>606</v>
      </c>
      <c r="E58" s="504"/>
      <c r="F58" s="504"/>
      <c r="G58" s="504"/>
      <c r="H58" s="504"/>
      <c r="I58" s="504"/>
      <c r="J58" s="504"/>
      <c r="K58" s="504"/>
      <c r="L58" s="504"/>
      <c r="M58" s="504"/>
      <c r="N58" s="504"/>
      <c r="O58" s="504"/>
      <c r="P58" s="505"/>
      <c r="Q58" s="251"/>
      <c r="R58" s="487"/>
      <c r="S58" s="251"/>
      <c r="T58" s="485" t="s">
        <v>608</v>
      </c>
      <c r="U58" s="443"/>
      <c r="V58" s="443"/>
      <c r="W58" s="443"/>
      <c r="X58" s="443"/>
      <c r="Y58" s="443"/>
      <c r="Z58" s="443"/>
      <c r="AA58" s="486"/>
      <c r="AC58" s="487"/>
    </row>
    <row r="59" spans="1:33" ht="18.75" customHeight="1">
      <c r="B59" s="487"/>
      <c r="C59" s="516"/>
      <c r="D59" s="506" t="s">
        <v>609</v>
      </c>
      <c r="E59" s="507"/>
      <c r="F59" s="507"/>
      <c r="G59" s="507"/>
      <c r="H59" s="507"/>
      <c r="I59" s="507"/>
      <c r="J59" s="507"/>
      <c r="K59" s="507"/>
      <c r="L59" s="507"/>
      <c r="M59" s="507"/>
      <c r="N59" s="507"/>
      <c r="O59" s="507"/>
      <c r="P59" s="508"/>
      <c r="Q59" s="252"/>
      <c r="R59" s="487"/>
      <c r="S59" s="252"/>
      <c r="T59" s="258"/>
      <c r="U59" s="256"/>
      <c r="V59" s="256"/>
      <c r="W59" s="256"/>
      <c r="X59" s="255"/>
      <c r="Y59" s="255"/>
      <c r="Z59" s="255"/>
      <c r="AA59" s="259"/>
      <c r="AC59" s="487"/>
    </row>
    <row r="60" spans="1:33" ht="18.75" customHeight="1">
      <c r="B60" s="227"/>
      <c r="C60" s="516"/>
      <c r="I60" s="210"/>
      <c r="J60" s="253"/>
      <c r="K60" s="253"/>
      <c r="L60" s="253"/>
      <c r="M60" s="253"/>
      <c r="N60" s="253"/>
      <c r="O60" s="253"/>
      <c r="P60" s="253"/>
      <c r="Q60" s="253"/>
      <c r="R60" s="253"/>
      <c r="S60" s="253"/>
      <c r="T60" s="253"/>
      <c r="U60" s="253"/>
      <c r="V60" s="253"/>
      <c r="W60" s="253"/>
      <c r="AC60" s="228"/>
    </row>
    <row r="61" spans="1:33" ht="18.75" customHeight="1">
      <c r="B61" s="227"/>
      <c r="C61" s="516"/>
      <c r="F61" s="87"/>
      <c r="G61" s="87"/>
      <c r="H61" s="87"/>
      <c r="I61" s="253"/>
      <c r="J61" s="253"/>
      <c r="K61" s="253"/>
      <c r="L61" s="253"/>
      <c r="M61" s="253"/>
      <c r="N61" s="253"/>
      <c r="O61" s="253"/>
      <c r="P61" s="253"/>
      <c r="Q61" s="253"/>
      <c r="R61" s="253"/>
      <c r="S61" s="253"/>
      <c r="T61" s="253"/>
      <c r="U61" s="253"/>
      <c r="V61" s="253"/>
      <c r="W61" s="253"/>
      <c r="X61" s="87"/>
      <c r="Y61" s="87"/>
      <c r="AC61" s="228"/>
    </row>
    <row r="62" spans="1:33">
      <c r="F62" s="87"/>
      <c r="G62" s="87"/>
      <c r="H62" s="87"/>
      <c r="I62" s="87"/>
      <c r="J62" s="87"/>
      <c r="K62" s="87"/>
      <c r="L62" s="87"/>
      <c r="M62" s="87"/>
      <c r="N62" s="87"/>
      <c r="O62" s="87"/>
      <c r="P62" s="87"/>
      <c r="Q62" s="87"/>
      <c r="R62" s="87"/>
      <c r="S62" s="87"/>
      <c r="T62" s="87"/>
      <c r="U62" s="87"/>
      <c r="V62" s="87"/>
      <c r="W62" s="87"/>
      <c r="X62" s="87"/>
      <c r="Y62" s="87"/>
    </row>
    <row r="63" spans="1:33">
      <c r="F63" s="87"/>
      <c r="G63" s="87"/>
      <c r="H63" s="87"/>
      <c r="I63" s="87"/>
      <c r="J63" s="87"/>
      <c r="K63" s="87"/>
      <c r="L63" s="87"/>
      <c r="M63" s="87"/>
      <c r="N63" s="87"/>
      <c r="O63" s="87"/>
      <c r="P63" s="87"/>
      <c r="Q63" s="87"/>
      <c r="R63" s="87"/>
      <c r="S63" s="87"/>
      <c r="T63" s="87"/>
      <c r="U63" s="87"/>
      <c r="V63" s="87"/>
      <c r="W63" s="87"/>
      <c r="X63" s="87"/>
      <c r="Y63" s="87"/>
    </row>
    <row r="64" spans="1:33">
      <c r="F64" s="87"/>
      <c r="G64" s="87"/>
      <c r="H64" s="87"/>
      <c r="I64" s="197"/>
      <c r="J64" s="197"/>
      <c r="K64" s="197"/>
      <c r="L64" s="197"/>
      <c r="M64" s="197"/>
      <c r="N64" s="197"/>
      <c r="O64" s="197"/>
      <c r="P64" s="197"/>
      <c r="Q64" s="197"/>
      <c r="R64" s="197"/>
      <c r="S64" s="197"/>
      <c r="T64" s="197"/>
      <c r="U64" s="197"/>
      <c r="V64" s="197"/>
      <c r="W64" s="197"/>
      <c r="X64" s="87"/>
      <c r="Y64" s="87"/>
    </row>
    <row r="65" spans="6:25">
      <c r="F65" s="87"/>
      <c r="G65" s="87"/>
      <c r="H65" s="87"/>
      <c r="I65" s="194"/>
      <c r="J65" s="194"/>
      <c r="K65" s="194"/>
      <c r="L65" s="194"/>
      <c r="M65" s="194"/>
      <c r="N65" s="194"/>
      <c r="O65" s="194"/>
      <c r="P65" s="194"/>
      <c r="Q65" s="194"/>
      <c r="R65" s="194"/>
      <c r="S65" s="194"/>
      <c r="T65" s="194"/>
      <c r="U65" s="194"/>
      <c r="V65" s="194"/>
      <c r="W65" s="194"/>
      <c r="X65" s="87"/>
      <c r="Y65" s="87"/>
    </row>
    <row r="66" spans="6:25">
      <c r="F66" s="87"/>
      <c r="G66" s="87"/>
      <c r="H66" s="87"/>
      <c r="I66" s="194"/>
      <c r="J66" s="194"/>
      <c r="K66" s="194"/>
      <c r="L66" s="194"/>
      <c r="M66" s="194"/>
      <c r="N66" s="194"/>
      <c r="O66" s="194"/>
      <c r="P66" s="194"/>
      <c r="Q66" s="194"/>
      <c r="R66" s="194"/>
      <c r="S66" s="194"/>
      <c r="T66" s="194"/>
      <c r="U66" s="194"/>
      <c r="V66" s="194"/>
      <c r="W66" s="194"/>
      <c r="X66" s="87"/>
      <c r="Y66" s="87"/>
    </row>
    <row r="67" spans="6:25">
      <c r="F67" s="87"/>
      <c r="G67" s="87"/>
      <c r="H67" s="87"/>
      <c r="I67" s="198"/>
      <c r="J67" s="198"/>
      <c r="K67" s="198"/>
      <c r="L67" s="198"/>
      <c r="M67" s="198"/>
      <c r="N67" s="198"/>
      <c r="O67" s="198"/>
      <c r="P67" s="198"/>
      <c r="Q67" s="128"/>
      <c r="R67" s="49"/>
      <c r="S67" s="49"/>
      <c r="T67" s="49"/>
      <c r="U67" s="50"/>
      <c r="V67" s="50"/>
      <c r="W67" s="50"/>
      <c r="X67" s="87"/>
      <c r="Y67" s="87"/>
    </row>
    <row r="68" spans="6:25">
      <c r="F68" s="87"/>
      <c r="G68" s="87"/>
      <c r="H68" s="87"/>
      <c r="I68" s="199"/>
      <c r="J68" s="199"/>
      <c r="K68" s="199"/>
      <c r="L68" s="199"/>
      <c r="M68" s="199"/>
      <c r="N68" s="199"/>
      <c r="O68" s="199"/>
      <c r="P68" s="199"/>
      <c r="Q68" s="199"/>
      <c r="R68" s="199"/>
      <c r="S68" s="199"/>
      <c r="T68" s="199"/>
      <c r="U68" s="199"/>
      <c r="V68" s="199"/>
      <c r="W68" s="199"/>
      <c r="X68" s="87"/>
      <c r="Y68" s="87"/>
    </row>
    <row r="69" spans="6:25">
      <c r="F69" s="87"/>
      <c r="G69" s="87"/>
      <c r="H69" s="87"/>
      <c r="I69" s="128"/>
      <c r="J69" s="128"/>
      <c r="K69" s="128"/>
      <c r="L69" s="128"/>
      <c r="M69" s="128"/>
      <c r="N69" s="128"/>
      <c r="O69" s="128"/>
      <c r="P69" s="128"/>
      <c r="Q69" s="128"/>
      <c r="R69" s="128"/>
      <c r="S69" s="128"/>
      <c r="T69" s="128"/>
      <c r="U69" s="128"/>
      <c r="V69" s="128"/>
      <c r="W69" s="128"/>
      <c r="X69" s="87"/>
      <c r="Y69" s="87"/>
    </row>
    <row r="70" spans="6:25">
      <c r="F70" s="87"/>
      <c r="G70" s="87"/>
      <c r="H70" s="87"/>
      <c r="I70" s="128"/>
      <c r="J70" s="128"/>
      <c r="K70" s="128"/>
      <c r="L70" s="128"/>
      <c r="M70" s="128"/>
      <c r="N70" s="128"/>
      <c r="O70" s="128"/>
      <c r="P70" s="128"/>
      <c r="Q70" s="128"/>
      <c r="R70" s="128"/>
      <c r="S70" s="128"/>
      <c r="T70" s="128"/>
      <c r="U70" s="128"/>
      <c r="V70" s="128"/>
      <c r="W70" s="128"/>
      <c r="X70" s="87"/>
      <c r="Y70" s="87"/>
    </row>
    <row r="71" spans="6:25">
      <c r="F71" s="87"/>
      <c r="G71" s="87"/>
      <c r="H71" s="87"/>
      <c r="I71" s="87"/>
      <c r="J71" s="87"/>
      <c r="K71" s="87"/>
      <c r="L71" s="87"/>
      <c r="M71" s="87"/>
      <c r="N71" s="87"/>
      <c r="O71" s="87"/>
      <c r="P71" s="87"/>
      <c r="Q71" s="87"/>
      <c r="R71" s="87"/>
      <c r="S71" s="87"/>
      <c r="T71" s="87"/>
      <c r="U71" s="87"/>
      <c r="V71" s="87"/>
      <c r="W71" s="87"/>
      <c r="X71" s="87"/>
      <c r="Y71" s="87"/>
    </row>
    <row r="72" spans="6:25">
      <c r="F72" s="87"/>
      <c r="G72" s="87"/>
      <c r="H72" s="87"/>
      <c r="I72" s="87"/>
      <c r="J72" s="87"/>
      <c r="K72" s="87"/>
      <c r="L72" s="87"/>
      <c r="M72" s="87"/>
      <c r="N72" s="87"/>
      <c r="O72" s="87"/>
      <c r="P72" s="87"/>
      <c r="Q72" s="87"/>
      <c r="R72" s="87"/>
      <c r="S72" s="87"/>
      <c r="T72" s="87"/>
      <c r="U72" s="87"/>
      <c r="V72" s="87"/>
      <c r="W72" s="87"/>
      <c r="X72" s="87"/>
      <c r="Y72" s="87"/>
    </row>
    <row r="73" spans="6:25">
      <c r="F73" s="87"/>
      <c r="G73" s="87"/>
      <c r="H73" s="87"/>
      <c r="I73" s="87"/>
      <c r="J73" s="87"/>
      <c r="K73" s="87"/>
      <c r="L73" s="87"/>
      <c r="M73" s="87"/>
      <c r="N73" s="87"/>
      <c r="O73" s="87"/>
      <c r="P73" s="87"/>
      <c r="Q73" s="87"/>
      <c r="R73" s="87"/>
      <c r="S73" s="87"/>
      <c r="T73" s="87"/>
      <c r="U73" s="87"/>
      <c r="V73" s="87"/>
      <c r="W73" s="87"/>
      <c r="X73" s="87"/>
      <c r="Y73" s="87"/>
    </row>
    <row r="74" spans="6:25"/>
    <row r="75" spans="6:25"/>
    <row r="76" spans="6:25"/>
    <row r="77" spans="6:25"/>
    <row r="78" spans="6:25"/>
    <row r="79" spans="6:25"/>
    <row r="80" spans="6:25"/>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sheetData>
  <sheetProtection sheet="1" objects="1" scenarios="1" selectLockedCells="1"/>
  <mergeCells count="22">
    <mergeCell ref="Y2:AC2"/>
    <mergeCell ref="S2:X2"/>
    <mergeCell ref="T54:AA55"/>
    <mergeCell ref="T56:AA56"/>
    <mergeCell ref="T46:AA46"/>
    <mergeCell ref="T47:AA49"/>
    <mergeCell ref="T50:AA51"/>
    <mergeCell ref="T53:AA53"/>
    <mergeCell ref="D2:K2"/>
    <mergeCell ref="M2:P2"/>
    <mergeCell ref="D52:P52"/>
    <mergeCell ref="D53:P57"/>
    <mergeCell ref="B5:B59"/>
    <mergeCell ref="C5:C61"/>
    <mergeCell ref="T57:X57"/>
    <mergeCell ref="T58:AA58"/>
    <mergeCell ref="AC5:AC59"/>
    <mergeCell ref="R5:R59"/>
    <mergeCell ref="M5:P7"/>
    <mergeCell ref="M42:P43"/>
    <mergeCell ref="D58:P58"/>
    <mergeCell ref="D59:P59"/>
  </mergeCells>
  <hyperlinks>
    <hyperlink ref="M5:P7" r:id="rId1" tooltip="Click Me To Visit Website" display="For More Quotations, Please Visit: www.DayTradingLife.com"/>
    <hyperlink ref="Y57" r:id="rId2"/>
  </hyperlinks>
  <pageMargins left="0.7" right="0.7" top="0.75" bottom="0.75" header="0.3" footer="0.3"/>
  <pageSetup paperSize="9" orientation="portrait" horizontalDpi="4294967293" verticalDpi="0"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249977111117893"/>
  </sheetPr>
  <dimension ref="A1:AZ200"/>
  <sheetViews>
    <sheetView showRowColHeaders="0" zoomScale="70" zoomScaleNormal="70" workbookViewId="0">
      <selection activeCell="A201" sqref="A201:XFD1048576"/>
    </sheetView>
  </sheetViews>
  <sheetFormatPr defaultColWidth="0" defaultRowHeight="15" zeroHeight="1"/>
  <cols>
    <col min="1" max="52" width="9.140625" style="87" customWidth="1"/>
    <col min="53" max="16384" width="9.140625" style="87"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sheetData>
  <sheetProtection selectLockedCell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Splash</vt:lpstr>
      <vt:lpstr>RandomORG Trading Simulator</vt:lpstr>
      <vt:lpstr>Instruction &amp; Quotations</vt:lpstr>
      <vt:lpstr>Credits</vt:lpstr>
      <vt:lpstr>count</vt:lpstr>
      <vt:lpstr>Outcome</vt:lpstr>
      <vt:lpstr>position</vt:lpstr>
      <vt:lpstr>'RandomORG Trading Simulator'!Print_Area</vt:lpstr>
    </vt:vector>
  </TitlesOfParts>
  <Manager>Dow-Boy</Manager>
  <Company>DayTradingLife.com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Random.ORG Trading Simulator v1.21</dc:title>
  <dc:subject>Random.ORG Simulation - Trading System Expectancy</dc:subject>
  <dc:creator>Dow-Boy</dc:creator>
  <cp:keywords>Random.ORG, Trading System, Expectancy</cp:keywords>
  <cp:lastModifiedBy>DowBoy</cp:lastModifiedBy>
  <cp:lastPrinted>2009-07-06T22:00:02Z</cp:lastPrinted>
  <dcterms:created xsi:type="dcterms:W3CDTF">2009-07-02T14:33:07Z</dcterms:created>
  <dcterms:modified xsi:type="dcterms:W3CDTF">2017-07-13T14:56:44Z</dcterms:modified>
  <cp:category>Day Tading Life - FREE Excel Trading Spreadsheets</cp:category>
  <cp:contentStatus>Live</cp:contentStatus>
</cp:coreProperties>
</file>